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fuk-my.sharepoint.com/personal/jarolil1_ff_cuni_cz/Documents/Plocha OneDrive/K ZAŘAZENÍ/NOVÁKOVÁ UKFFS_0167_2025 AVERS, spol. s r.o/"/>
    </mc:Choice>
  </mc:AlternateContent>
  <xr:revisionPtr revIDLastSave="0" documentId="8_{B8ADB57A-C22A-4493-97B8-D027848FFDF3}" xr6:coauthVersionLast="47" xr6:coauthVersionMax="47" xr10:uidLastSave="{00000000-0000-0000-0000-000000000000}"/>
  <workbookProtection lockStructure="1"/>
  <bookViews>
    <workbookView xWindow="3180" yWindow="525" windowWidth="24705" windowHeight="14715" xr2:uid="{F7E666B8-DFCB-4A89-B0A7-DDFE5386286E}"/>
  </bookViews>
  <sheets>
    <sheet name="Krycí list" sheetId="1" r:id="rId1"/>
    <sheet name="Rekapitulace" sheetId="2" r:id="rId2"/>
    <sheet name="1.NP" sheetId="3" r:id="rId3"/>
    <sheet name="1.NP ZL č.3" sheetId="14" r:id="rId4"/>
    <sheet name="2.NP" sheetId="5" r:id="rId5"/>
    <sheet name="3.NP" sheetId="7" r:id="rId6"/>
    <sheet name="3.NP ZL č.2" sheetId="12" r:id="rId7"/>
    <sheet name="4.NP" sheetId="8" r:id="rId8"/>
    <sheet name="4.NP ZL č.2" sheetId="11" r:id="rId9"/>
    <sheet name="5.NP" sheetId="9" r:id="rId10"/>
    <sheet name="5.NP ZL č.1 " sheetId="10" r:id="rId11"/>
    <sheet name="5.NP ZL č.2" sheetId="13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______________________________xlnm.Print_Titles">#REF!</definedName>
    <definedName name="___xlnm.Recorder">#REF!</definedName>
    <definedName name="__CENA__">#REF!</definedName>
    <definedName name="__MAIN__">#REF!</definedName>
    <definedName name="__MAIN2__">#REF!</definedName>
    <definedName name="__MAIN2___2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0___2">#REF!</definedName>
    <definedName name="__TR1__">#REF!</definedName>
    <definedName name="__TR1___2">#REF!</definedName>
    <definedName name="__xlnm.Print_Titles">#REF!</definedName>
    <definedName name="__xlnm.Recorder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AAA">#REF!</definedName>
    <definedName name="Accounts">#REF!</definedName>
    <definedName name="AL_obvodový_plášť" localSheetId="6">'[1]SO 11.1A Výkaz výměr'!#REF!</definedName>
    <definedName name="AL_obvodový_plášť" localSheetId="8">'[1]SO 11.1A Výkaz výměr'!#REF!</definedName>
    <definedName name="AL_obvodový_plášť" localSheetId="11">'[1]SO 11.1A Výkaz výměr'!#REF!</definedName>
    <definedName name="AL_obvodový_plášť">'[1]SO 11.1A Výkaz výměr'!#REF!</definedName>
    <definedName name="bghrerr">#REF!</definedName>
    <definedName name="bhvfdgvf">#REF!</definedName>
    <definedName name="CDOK">#REF!</definedName>
    <definedName name="CDOK1">#REF!</definedName>
    <definedName name="CDOK2">#REF!</definedName>
    <definedName name="celkrozp">#REF!</definedName>
    <definedName name="cisloobjektu" localSheetId="3">'[2]Krycí list'!$A$4</definedName>
    <definedName name="cisloobjektu" localSheetId="6">'[2]Krycí list'!$A$4</definedName>
    <definedName name="cisloobjektu" localSheetId="8">'[2]Krycí list'!$A$4</definedName>
    <definedName name="cisloobjektu" localSheetId="10">'[2]Krycí list'!$A$4</definedName>
    <definedName name="cisloobjektu" localSheetId="11">'[2]Krycí list'!$A$4</definedName>
    <definedName name="cisloobjektu">'Krycí list'!$A$4</definedName>
    <definedName name="cislostavby" localSheetId="3">'[2]Krycí list'!$A$6</definedName>
    <definedName name="cislostavby" localSheetId="6">'[2]Krycí list'!$A$6</definedName>
    <definedName name="cislostavby" localSheetId="8">'[2]Krycí list'!$A$6</definedName>
    <definedName name="cislostavby" localSheetId="10">'[2]Krycí list'!$A$6</definedName>
    <definedName name="cislostavby" localSheetId="11">'[2]Krycí list'!$A$6</definedName>
    <definedName name="cislostavby">'Krycí list'!$A$6</definedName>
    <definedName name="dadresa">#REF!</definedName>
    <definedName name="Datum" localSheetId="3">'[3]Krycí list'!#REF!</definedName>
    <definedName name="Datum" localSheetId="6">'[3]Krycí list'!#REF!</definedName>
    <definedName name="Datum" localSheetId="8">'[3]Krycí list'!#REF!</definedName>
    <definedName name="Datum" localSheetId="11">'[3]Krycí list'!#REF!</definedName>
    <definedName name="Datum">'Krycí list'!$B$30</definedName>
    <definedName name="dfdaf">#REF!</definedName>
    <definedName name="DIČ">#REF!</definedName>
    <definedName name="Dil" localSheetId="3">[4]Rekapitulace!#REF!</definedName>
    <definedName name="Dil" localSheetId="6">[4]Rekapitulace!#REF!</definedName>
    <definedName name="Dil" localSheetId="8">[4]Rekapitulace!#REF!</definedName>
    <definedName name="Dil" localSheetId="10">[4]Rekapitulace!#REF!</definedName>
    <definedName name="Dil" localSheetId="11">[4]Rekapitulace!#REF!</definedName>
    <definedName name="Dil">Rekapitulace!#REF!</definedName>
    <definedName name="DKGJSDGS">#REF!</definedName>
    <definedName name="dmisto">#REF!</definedName>
    <definedName name="Dodavka" localSheetId="3">[4]Rekapitulace!#REF!</definedName>
    <definedName name="Dodavka" localSheetId="6">[4]Rekapitulace!#REF!</definedName>
    <definedName name="Dodavka" localSheetId="8">[4]Rekapitulace!#REF!</definedName>
    <definedName name="Dodavka" localSheetId="10">[4]Rekapitulace!#REF!</definedName>
    <definedName name="Dodavka" localSheetId="11">[4]Rekapitulace!#REF!</definedName>
    <definedName name="Dodavka">Rekapitulace!#REF!</definedName>
    <definedName name="Dodavka0" localSheetId="3">'[4]1.NP'!#REF!</definedName>
    <definedName name="Dodavka0" localSheetId="6">'[4]1.NP'!#REF!</definedName>
    <definedName name="Dodavka0" localSheetId="8">'[4]1.NP'!#REF!</definedName>
    <definedName name="Dodavka0" localSheetId="10">'[4]1.NP'!#REF!</definedName>
    <definedName name="Dodavka0" localSheetId="11">'[4]1.NP'!#REF!</definedName>
    <definedName name="Dodavka0">'1.NP'!#REF!</definedName>
    <definedName name="dpsc">#REF!</definedName>
    <definedName name="dsfbhbg">#REF!</definedName>
    <definedName name="edp">#REF!</definedName>
    <definedName name="ExpatCOMest.">#REF!</definedName>
    <definedName name="ExpatCOMreq.">#REF!</definedName>
    <definedName name="ExpatQAest.">#REF!</definedName>
    <definedName name="ExpatQAreq.">#REF!</definedName>
    <definedName name="exter1">#REF!</definedName>
    <definedName name="fddas">#REF!</definedName>
    <definedName name="Fin_Phare">#REF!</definedName>
    <definedName name="Fin_Zad">#REF!</definedName>
    <definedName name="genadm">#REF!</definedName>
    <definedName name="genadmin">#REF!</definedName>
    <definedName name="gsf">#REF!</definedName>
    <definedName name="hovno">#REF!</definedName>
    <definedName name="HSV" localSheetId="3">[4]Rekapitulace!#REF!</definedName>
    <definedName name="HSV" localSheetId="6">[4]Rekapitulace!#REF!</definedName>
    <definedName name="HSV" localSheetId="8">[4]Rekapitulace!#REF!</definedName>
    <definedName name="HSV" localSheetId="10">[4]Rekapitulace!#REF!</definedName>
    <definedName name="HSV" localSheetId="11">[4]Rekapitulace!#REF!</definedName>
    <definedName name="HSV">Rekapitulace!#REF!</definedName>
    <definedName name="HSV_">#REF!</definedName>
    <definedName name="HSV0" localSheetId="3">'[4]1.NP'!#REF!</definedName>
    <definedName name="HSV0" localSheetId="6">'[4]1.NP'!#REF!</definedName>
    <definedName name="HSV0" localSheetId="8">'[4]1.NP'!#REF!</definedName>
    <definedName name="HSV0" localSheetId="10">'[4]1.NP'!#REF!</definedName>
    <definedName name="HSV0" localSheetId="11">'[4]1.NP'!#REF!</definedName>
    <definedName name="HSV0">'1.NP'!#REF!</definedName>
    <definedName name="HZS" localSheetId="3">[4]Rekapitulace!#REF!</definedName>
    <definedName name="HZS" localSheetId="6">[4]Rekapitulace!#REF!</definedName>
    <definedName name="HZS" localSheetId="8">[4]Rekapitulace!#REF!</definedName>
    <definedName name="HZS" localSheetId="10">[4]Rekapitulace!#REF!</definedName>
    <definedName name="HZS" localSheetId="11">[4]Rekapitulace!#REF!</definedName>
    <definedName name="HZS">Rekapitulace!#REF!</definedName>
    <definedName name="HZS0" localSheetId="3">'[4]1.NP'!#REF!</definedName>
    <definedName name="HZS0" localSheetId="6">'[4]1.NP'!#REF!</definedName>
    <definedName name="HZS0" localSheetId="8">'[4]1.NP'!#REF!</definedName>
    <definedName name="HZS0" localSheetId="10">'[4]1.NP'!#REF!</definedName>
    <definedName name="HZS0" localSheetId="11">'[4]1.NP'!#REF!</definedName>
    <definedName name="HZS0">'1.NP'!#REF!</definedName>
    <definedName name="CHVALIL1">#REF!</definedName>
    <definedName name="IČO">#REF!</definedName>
    <definedName name="inter1">#REF!</definedName>
    <definedName name="IS">#REF!</definedName>
    <definedName name="Izolace_akustické">'[1]SO 11.1A Výkaz výměr'!#REF!</definedName>
    <definedName name="Izolace_proti_vodě">'[1]SO 11.1A Výkaz výměr'!#REF!</definedName>
    <definedName name="JKSO">'Krycí list'!$F$4</definedName>
    <definedName name="jzzuggt">#REF!</definedName>
    <definedName name="KK">#REF!</definedName>
    <definedName name="Kody_proj">#REF!</definedName>
    <definedName name="Kody_zeme">#REF!</definedName>
    <definedName name="Komunikace" localSheetId="6">'[1]SO 11.1A Výkaz výměr'!#REF!</definedName>
    <definedName name="Komunikace" localSheetId="8">'[1]SO 11.1A Výkaz výměr'!#REF!</definedName>
    <definedName name="Komunikace" localSheetId="11">'[1]SO 11.1A Výkaz výměr'!#REF!</definedName>
    <definedName name="Komunikace">'[1]SO 11.1A Výkaz výměr'!#REF!</definedName>
    <definedName name="Konstrukce_klempířské" localSheetId="6">'[1]SO 11.1A Výkaz výměr'!#REF!</definedName>
    <definedName name="Konstrukce_klempířské" localSheetId="8">'[1]SO 11.1A Výkaz výměr'!#REF!</definedName>
    <definedName name="Konstrukce_klempířské" localSheetId="11">'[1]SO 11.1A Výkaz výměr'!#REF!</definedName>
    <definedName name="Konstrukce_klempířské">'[1]SO 11.1A Výkaz výměr'!#REF!</definedName>
    <definedName name="Konstrukce_truhlářské" localSheetId="6">'[1]SO 11.1A Výkaz výměr'!#REF!</definedName>
    <definedName name="Konstrukce_truhlářské" localSheetId="8">'[1]SO 11.1A Výkaz výměr'!#REF!</definedName>
    <definedName name="Konstrukce_truhlářské" localSheetId="11">'[1]SO 11.1A Výkaz výměr'!#REF!</definedName>
    <definedName name="Konstrukce_truhlářské">'[1]SO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 localSheetId="6">'[1]SO 11.1A Výkaz výměr'!#REF!</definedName>
    <definedName name="Kovové_stavební_doplňkové_konstrukce" localSheetId="8">'[1]SO 11.1A Výkaz výměr'!#REF!</definedName>
    <definedName name="Kovové_stavební_doplňkové_konstrukce" localSheetId="11">'[1]SO 11.1A Výkaz výměr'!#REF!</definedName>
    <definedName name="Kovové_stavební_doplňkové_konstrukce">'[1]SO 11.1A Výkaz výměr'!#REF!</definedName>
    <definedName name="Kurs_Kc_ECU">#REF!</definedName>
    <definedName name="LocalCOMest.">#REF!</definedName>
    <definedName name="LocalCOMreq.">#REF!</definedName>
    <definedName name="LocalQAest.">#REF!</definedName>
    <definedName name="LocalQAreq.">#REF!</definedName>
    <definedName name="Malby__tapety__nátěry__nástřiky">'[1]SO 11.1A Výkaz výměr'!#REF!</definedName>
    <definedName name="maxId">#REF!</definedName>
    <definedName name="MJ">'Krycí list'!$G$4</definedName>
    <definedName name="Mont" localSheetId="3">[4]Rekapitulace!#REF!</definedName>
    <definedName name="Mont" localSheetId="6">[4]Rekapitulace!#REF!</definedName>
    <definedName name="Mont" localSheetId="8">[4]Rekapitulace!#REF!</definedName>
    <definedName name="Mont" localSheetId="10">[4]Rekapitulace!#REF!</definedName>
    <definedName name="Mont" localSheetId="11">[4]Rekapitulace!#REF!</definedName>
    <definedName name="Mont">Rekapitulace!#REF!</definedName>
    <definedName name="Mont_">#REF!</definedName>
    <definedName name="Montaz0" localSheetId="3">'[4]1.NP'!#REF!</definedName>
    <definedName name="Montaz0" localSheetId="6">'[4]1.NP'!#REF!</definedName>
    <definedName name="Montaz0" localSheetId="8">'[4]1.NP'!#REF!</definedName>
    <definedName name="Montaz0" localSheetId="10">'[4]1.NP'!#REF!</definedName>
    <definedName name="Montaz0" localSheetId="11">'[4]1.NP'!#REF!</definedName>
    <definedName name="Montaz0">'1.NP'!#REF!</definedName>
    <definedName name="mts">#REF!</definedName>
    <definedName name="NaVedomi">#REF!</definedName>
    <definedName name="NAZEV">#REF!</definedName>
    <definedName name="NazevDilu" localSheetId="3">[4]Rekapitulace!#REF!</definedName>
    <definedName name="NazevDilu" localSheetId="6">[4]Rekapitulace!#REF!</definedName>
    <definedName name="NazevDilu" localSheetId="8">[4]Rekapitulace!#REF!</definedName>
    <definedName name="NazevDilu" localSheetId="10">[4]Rekapitulace!#REF!</definedName>
    <definedName name="NazevDilu" localSheetId="11">[4]Rekapitulace!#REF!</definedName>
    <definedName name="NazevDilu">Rekapitulace!#REF!</definedName>
    <definedName name="nazevobjektu" localSheetId="3">'[2]Krycí list'!$C$4</definedName>
    <definedName name="nazevobjektu" localSheetId="6">'[2]Krycí list'!$C$4</definedName>
    <definedName name="nazevobjektu" localSheetId="8">'[2]Krycí list'!$C$4</definedName>
    <definedName name="nazevobjektu" localSheetId="10">'[2]Krycí list'!$C$4</definedName>
    <definedName name="nazevobjektu" localSheetId="11">'[2]Krycí list'!$C$4</definedName>
    <definedName name="nazevobjektu">'Krycí list'!$C$4</definedName>
    <definedName name="nazevstavby" localSheetId="3">'[2]Krycí list'!$C$6</definedName>
    <definedName name="nazevstavby" localSheetId="6">'[2]Krycí list'!$C$6</definedName>
    <definedName name="nazevstavby" localSheetId="8">'[2]Krycí list'!$C$6</definedName>
    <definedName name="nazevstavby" localSheetId="10">'[2]Krycí list'!$C$6</definedName>
    <definedName name="nazevstavby" localSheetId="11">'[2]Krycí list'!$C$6</definedName>
    <definedName name="nazevstavby">'Krycí list'!$C$6</definedName>
    <definedName name="Nazvy_proj">#REF!</definedName>
    <definedName name="_xlnm.Print_Titles" localSheetId="2">'1.NP'!$1:$6</definedName>
    <definedName name="_xlnm.Print_Titles" localSheetId="1">Rekapitulace!$1:$5</definedName>
    <definedName name="obch_sleva">#REF!</definedName>
    <definedName name="Objednatel" localSheetId="3">'[3]Krycí list'!#REF!</definedName>
    <definedName name="Objednatel" localSheetId="6">'[3]Krycí list'!#REF!</definedName>
    <definedName name="Objednatel" localSheetId="8">'[3]Krycí list'!#REF!</definedName>
    <definedName name="Objednatel" localSheetId="11">'[3]Krycí list'!#REF!</definedName>
    <definedName name="Objednatel">'Krycí list'!$C$8</definedName>
    <definedName name="Objekt">#REF!</definedName>
    <definedName name="Objekty">#REF!</definedName>
    <definedName name="Obklady_keramické" localSheetId="6">'[1]SO 11.1A Výkaz výměr'!#REF!</definedName>
    <definedName name="Obklady_keramické" localSheetId="8">'[1]SO 11.1A Výkaz výměr'!#REF!</definedName>
    <definedName name="Obklady_keramické" localSheetId="11">'[1]SO 11.1A Výkaz výměr'!#REF!</definedName>
    <definedName name="Obklady_keramické">'[1]SO 11.1A Výkaz výměr'!#REF!</definedName>
    <definedName name="_xlnm.Print_Area" localSheetId="2">'1.NP'!$A$1:$G$186</definedName>
    <definedName name="_xlnm.Print_Area" localSheetId="3">'1.NP ZL č.3'!$A$1:$H$55</definedName>
    <definedName name="_xlnm.Print_Area" localSheetId="4">'2.NP'!$A$1:$G$152</definedName>
    <definedName name="_xlnm.Print_Area" localSheetId="5">'3.NP'!$A$1:$G$207</definedName>
    <definedName name="_xlnm.Print_Area" localSheetId="6">'3.NP ZL č.2'!$A$1:$H$12</definedName>
    <definedName name="_xlnm.Print_Area" localSheetId="7">'4.NP'!$A$1:$G$260</definedName>
    <definedName name="_xlnm.Print_Area" localSheetId="8">'4.NP ZL č.2'!$A$1:$H$15</definedName>
    <definedName name="_xlnm.Print_Area" localSheetId="9">'5.NP'!$A$1:$G$282</definedName>
    <definedName name="_xlnm.Print_Area" localSheetId="10">'5.NP ZL č.1 '!$A$1:$H$79</definedName>
    <definedName name="_xlnm.Print_Area" localSheetId="11">'5.NP ZL č.2'!$A$1:$H$35</definedName>
    <definedName name="_xlnm.Print_Area" localSheetId="0">'Krycí list'!$A$1:$G$49</definedName>
    <definedName name="_xlnm.Print_Area" localSheetId="1">Rekapitulace!$A$1:$G$25</definedName>
    <definedName name="odic">#REF!</definedName>
    <definedName name="oico">#REF!</definedName>
    <definedName name="omisto">#REF!</definedName>
    <definedName name="onazev">#REF!</definedName>
    <definedName name="opsc">#REF!</definedName>
    <definedName name="OUD">#REF!</definedName>
    <definedName name="paž">#REF!</definedName>
    <definedName name="Persexp">#REF!</definedName>
    <definedName name="persloc">#REF!</definedName>
    <definedName name="PocetMJ" localSheetId="3">'[3]Krycí list'!#REF!</definedName>
    <definedName name="PocetMJ" localSheetId="6">'[3]Krycí list'!#REF!</definedName>
    <definedName name="PocetMJ" localSheetId="8">'[3]Krycí list'!#REF!</definedName>
    <definedName name="PocetMJ" localSheetId="11">'[3]Krycí list'!#REF!</definedName>
    <definedName name="PocetMJ">'Krycí list'!$G$7</definedName>
    <definedName name="Podhledy" localSheetId="6">'[1]SO 11.1A Výkaz výměr'!#REF!</definedName>
    <definedName name="Podhledy" localSheetId="8">'[1]SO 11.1A Výkaz výměr'!#REF!</definedName>
    <definedName name="Podhledy" localSheetId="11">'[1]SO 11.1A Výkaz výměr'!#REF!</definedName>
    <definedName name="Podhledy">'[1]SO 11.1A Výkaz výměr'!#REF!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 localSheetId="3">'[3]Krycí list'!#REF!</definedName>
    <definedName name="Poznamka" localSheetId="6">'[3]Krycí list'!#REF!</definedName>
    <definedName name="Poznamka" localSheetId="8">'[3]Krycí list'!#REF!</definedName>
    <definedName name="Poznamka" localSheetId="11">'[3]Krycí list'!#REF!</definedName>
    <definedName name="Poznamka">'Krycí list'!$B$41</definedName>
    <definedName name="Predmet">#REF!</definedName>
    <definedName name="prep_schem">#REF!</definedName>
    <definedName name="Prilohy">#REF!</definedName>
    <definedName name="PROJEKT">#REF!</definedName>
    <definedName name="Projektant" localSheetId="3">'[3]Krycí list'!#REF!</definedName>
    <definedName name="Projektant" localSheetId="6">'[3]Krycí list'!#REF!</definedName>
    <definedName name="Projektant" localSheetId="8">'[3]Krycí list'!#REF!</definedName>
    <definedName name="Projektant" localSheetId="11">'[3]Krycí list'!#REF!</definedName>
    <definedName name="Projektant">'Krycí list'!$C$7</definedName>
    <definedName name="PS">#REF!</definedName>
    <definedName name="PSV" localSheetId="3">[4]Rekapitulace!#REF!</definedName>
    <definedName name="PSV" localSheetId="6">[4]Rekapitulace!#REF!</definedName>
    <definedName name="PSV" localSheetId="8">[4]Rekapitulace!#REF!</definedName>
    <definedName name="PSV" localSheetId="10">[4]Rekapitulace!#REF!</definedName>
    <definedName name="PSV" localSheetId="11">[4]Rekapitulace!#REF!</definedName>
    <definedName name="PSV">Rekapitulace!#REF!</definedName>
    <definedName name="PSV_">#REF!</definedName>
    <definedName name="PSV0" localSheetId="3">'[4]1.NP'!#REF!</definedName>
    <definedName name="PSV0" localSheetId="6">'[4]1.NP'!#REF!</definedName>
    <definedName name="PSV0" localSheetId="8">'[4]1.NP'!#REF!</definedName>
    <definedName name="PSV0" localSheetId="10">'[4]1.NP'!#REF!</definedName>
    <definedName name="PSV0" localSheetId="11">'[4]1.NP'!#REF!</definedName>
    <definedName name="PSV0">'1.NP'!#REF!</definedName>
    <definedName name="REKAPITULACE">'[1]SO 11.1A Výkaz výměr'!#REF!</definedName>
    <definedName name="REV">#REF!</definedName>
    <definedName name="rozv">'[1]SO 11.1A Výkaz výměr'!#REF!</definedName>
    <definedName name="rozvržení_rozp">#REF!</definedName>
    <definedName name="Sádrokartonové_konstrukce">'[1]SO 11.1A Výkaz výměr'!#REF!</definedName>
    <definedName name="SalExCOMest">#REF!</definedName>
    <definedName name="SalExCPest">#REF!</definedName>
    <definedName name="SalExPMest">#REF!</definedName>
    <definedName name="SalExQAest">#REF!</definedName>
    <definedName name="SalExSDest">#REF!</definedName>
    <definedName name="SalLocCOMest">#REF!</definedName>
    <definedName name="SalLocCPest">#REF!</definedName>
    <definedName name="SalLocPMest">#REF!</definedName>
    <definedName name="SalLocQAest">#REF!</definedName>
    <definedName name="SalLocSDest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oupecCC">'1.NP'!$G$6</definedName>
    <definedName name="SloupecCDH">#REF!</definedName>
    <definedName name="SloupecCisloPol">'1.NP'!$B$6</definedName>
    <definedName name="SloupecCH">#REF!</definedName>
    <definedName name="SloupecJC">'1.NP'!$F$6</definedName>
    <definedName name="SloupecJDH">#REF!</definedName>
    <definedName name="SloupecJDM">#REF!</definedName>
    <definedName name="SloupecJH">#REF!</definedName>
    <definedName name="SloupecMJ">'1.NP'!$D$6</definedName>
    <definedName name="SloupecMnozstvi">'1.NP'!$E$6</definedName>
    <definedName name="SloupecNazPol">'1.NP'!$C$6</definedName>
    <definedName name="SloupecPC">'1.NP'!$A$6</definedName>
    <definedName name="solver_lin" localSheetId="2" hidden="1">0</definedName>
    <definedName name="solver_num" localSheetId="2" hidden="1">0</definedName>
    <definedName name="solver_opt" localSheetId="2" hidden="1">'1.NP'!#REF!</definedName>
    <definedName name="solver_typ" localSheetId="2" hidden="1">1</definedName>
    <definedName name="solver_val" localSheetId="2" hidden="1">0</definedName>
    <definedName name="SPD">#REF!</definedName>
    <definedName name="ssss">#REF!</definedName>
    <definedName name="Statika">#REF!</definedName>
    <definedName name="StavbaCelkem">#REF!</definedName>
    <definedName name="subslevy">#REF!</definedName>
    <definedName name="sumpok">#REF!</definedName>
    <definedName name="sumRow">#REF!</definedName>
    <definedName name="tab">#REF!</definedName>
    <definedName name="Typ" localSheetId="3">'[4]1.NP'!#REF!</definedName>
    <definedName name="Typ" localSheetId="6">'[4]1.NP'!#REF!</definedName>
    <definedName name="Typ" localSheetId="8">'[4]1.NP'!#REF!</definedName>
    <definedName name="Typ" localSheetId="10">'[4]1.NP'!#REF!</definedName>
    <definedName name="Typ" localSheetId="11">'[4]1.NP'!#REF!</definedName>
    <definedName name="Typ">'1.NP'!#REF!</definedName>
    <definedName name="UKOL">#REF!</definedName>
    <definedName name="Ukonc_Phare">#REF!</definedName>
    <definedName name="Ukonc_vyst">#REF!</definedName>
    <definedName name="VRN" localSheetId="3">[4]Rekapitulace!#REF!</definedName>
    <definedName name="VRN" localSheetId="6">[4]Rekapitulace!#REF!</definedName>
    <definedName name="VRN" localSheetId="8">[4]Rekapitulace!#REF!</definedName>
    <definedName name="VRN" localSheetId="10">[4]Rekapitulace!#REF!</definedName>
    <definedName name="VRN" localSheetId="11">[4]Rekapitulace!#REF!</definedName>
    <definedName name="VRN">Rekapitulace!#REF!</definedName>
    <definedName name="VRNKc" localSheetId="3">[4]Rekapitulace!#REF!</definedName>
    <definedName name="VRNKc" localSheetId="6">[4]Rekapitulace!#REF!</definedName>
    <definedName name="VRNKc" localSheetId="8">[4]Rekapitulace!#REF!</definedName>
    <definedName name="VRNKc" localSheetId="10">[4]Rekapitulace!#REF!</definedName>
    <definedName name="VRNKc" localSheetId="11">[4]Rekapitulace!#REF!</definedName>
    <definedName name="VRNKc">Rekapitulace!#REF!</definedName>
    <definedName name="VRNnazev" localSheetId="3">[4]Rekapitulace!#REF!</definedName>
    <definedName name="VRNnazev" localSheetId="6">[4]Rekapitulace!#REF!</definedName>
    <definedName name="VRNnazev" localSheetId="8">[4]Rekapitulace!#REF!</definedName>
    <definedName name="VRNnazev" localSheetId="10">[4]Rekapitulace!#REF!</definedName>
    <definedName name="VRNnazev" localSheetId="11">[4]Rekapitulace!#REF!</definedName>
    <definedName name="VRNnazev">Rekapitulace!#REF!</definedName>
    <definedName name="VRNproc" localSheetId="3">[4]Rekapitulace!#REF!</definedName>
    <definedName name="VRNproc" localSheetId="6">[4]Rekapitulace!#REF!</definedName>
    <definedName name="VRNproc" localSheetId="8">[4]Rekapitulace!#REF!</definedName>
    <definedName name="VRNproc" localSheetId="10">[4]Rekapitulace!#REF!</definedName>
    <definedName name="VRNproc" localSheetId="11">[4]Rekapitulace!#REF!</definedName>
    <definedName name="VRNproc">Rekapitulace!#REF!</definedName>
    <definedName name="VRNzakl" localSheetId="3">[4]Rekapitulace!#REF!</definedName>
    <definedName name="VRNzakl" localSheetId="6">[4]Rekapitulace!#REF!</definedName>
    <definedName name="VRNzakl" localSheetId="8">[4]Rekapitulace!#REF!</definedName>
    <definedName name="VRNzakl" localSheetId="10">[4]Rekapitulace!#REF!</definedName>
    <definedName name="VRNzakl" localSheetId="11">[4]Rekapitulace!#REF!</definedName>
    <definedName name="VRNzakl">Rekapitulace!#REF!</definedName>
    <definedName name="výpočty">#REF!</definedName>
    <definedName name="vystup">#REF!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 localSheetId="3">'[3]Krycí list'!#REF!</definedName>
    <definedName name="Zakazka" localSheetId="6">'[3]Krycí list'!#REF!</definedName>
    <definedName name="Zakazka" localSheetId="8">'[3]Krycí list'!#REF!</definedName>
    <definedName name="Zakazka" localSheetId="11">'[3]Krycí list'!#REF!</definedName>
    <definedName name="Zakazka">'Krycí list'!$G$9</definedName>
    <definedName name="ZAKAZNIK">#REF!</definedName>
    <definedName name="Zaklad22" localSheetId="3">'[3]Krycí list'!#REF!</definedName>
    <definedName name="Zaklad22" localSheetId="6">'[3]Krycí list'!#REF!</definedName>
    <definedName name="Zaklad22" localSheetId="8">'[3]Krycí list'!#REF!</definedName>
    <definedName name="Zaklad22" localSheetId="11">'[3]Krycí list'!#REF!</definedName>
    <definedName name="Zaklad22">'Krycí list'!$F$36</definedName>
    <definedName name="Zaklad5" localSheetId="3">'[3]Krycí list'!#REF!</definedName>
    <definedName name="Zaklad5" localSheetId="6">'[3]Krycí list'!#REF!</definedName>
    <definedName name="Zaklad5" localSheetId="8">'[3]Krycí list'!#REF!</definedName>
    <definedName name="Zaklad5" localSheetId="11">'[3]Krycí list'!#REF!</definedName>
    <definedName name="Zaklad5">'Krycí list'!$F$34</definedName>
    <definedName name="zaokr">#REF!</definedName>
    <definedName name="Zhotovitel" localSheetId="3">'[3]Krycí list'!#REF!</definedName>
    <definedName name="Zhotovitel" localSheetId="6">'[3]Krycí list'!#REF!</definedName>
    <definedName name="Zhotovitel" localSheetId="8">'[3]Krycí list'!#REF!</definedName>
    <definedName name="Zhotovitel" localSheetId="11">'[3]Krycí list'!#REF!</definedName>
    <definedName name="Zhotovitel">'Krycí list'!$E$11</definedName>
    <definedName name="ZPRAC1">#REF!</definedName>
    <definedName name="ZPRAC2">#REF!</definedName>
    <definedName name="ZPRAC3">#REF!</definedName>
    <definedName name="ZPRAC4">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14" l="1"/>
  <c r="F52" i="14"/>
  <c r="G52" i="14" s="1"/>
  <c r="G53" i="14" s="1"/>
  <c r="F49" i="14"/>
  <c r="G49" i="14" s="1"/>
  <c r="F48" i="14"/>
  <c r="G48" i="14" s="1"/>
  <c r="G50" i="14" s="1"/>
  <c r="C46" i="14"/>
  <c r="G45" i="14"/>
  <c r="G46" i="14" s="1"/>
  <c r="C43" i="14"/>
  <c r="F41" i="14"/>
  <c r="G41" i="14" s="1"/>
  <c r="G43" i="14" s="1"/>
  <c r="C39" i="14"/>
  <c r="F37" i="14"/>
  <c r="C35" i="14"/>
  <c r="F34" i="14"/>
  <c r="G34" i="14" s="1"/>
  <c r="G35" i="14" s="1"/>
  <c r="C32" i="14"/>
  <c r="G30" i="14"/>
  <c r="F30" i="14"/>
  <c r="F29" i="14"/>
  <c r="G29" i="14" s="1"/>
  <c r="K28" i="14"/>
  <c r="G28" i="14"/>
  <c r="K27" i="14"/>
  <c r="G27" i="14"/>
  <c r="K22" i="14"/>
  <c r="G22" i="14"/>
  <c r="K17" i="14"/>
  <c r="G17" i="14"/>
  <c r="L8" i="14"/>
  <c r="G8" i="14"/>
  <c r="C4" i="14"/>
  <c r="C3" i="14"/>
  <c r="G32" i="14" l="1"/>
  <c r="G37" i="14"/>
  <c r="G39" i="14" s="1"/>
  <c r="G55" i="14" s="1"/>
  <c r="E9" i="2" l="1"/>
  <c r="C15" i="1"/>
  <c r="C3" i="13"/>
  <c r="C4" i="13"/>
  <c r="G8" i="13"/>
  <c r="K8" i="13"/>
  <c r="G12" i="13"/>
  <c r="K12" i="13"/>
  <c r="G16" i="13"/>
  <c r="K16" i="13"/>
  <c r="C20" i="13"/>
  <c r="G22" i="13"/>
  <c r="G25" i="13" s="1"/>
  <c r="G27" i="13"/>
  <c r="G29" i="13"/>
  <c r="G31" i="13"/>
  <c r="G32" i="13"/>
  <c r="C3" i="12"/>
  <c r="C4" i="12"/>
  <c r="F8" i="12"/>
  <c r="G8" i="12" s="1"/>
  <c r="G10" i="12" s="1"/>
  <c r="G12" i="12" s="1"/>
  <c r="E12" i="2" s="1"/>
  <c r="C18" i="1" s="1"/>
  <c r="C3" i="11"/>
  <c r="C4" i="11"/>
  <c r="F8" i="11"/>
  <c r="G8" i="11" s="1"/>
  <c r="G13" i="11" s="1"/>
  <c r="G15" i="11" s="1"/>
  <c r="E14" i="2" s="1"/>
  <c r="C20" i="1" s="1"/>
  <c r="F76" i="10"/>
  <c r="G76" i="10" s="1"/>
  <c r="G77" i="10" s="1"/>
  <c r="C3" i="10"/>
  <c r="C4" i="10"/>
  <c r="E8" i="10"/>
  <c r="K8" i="10" s="1"/>
  <c r="C11" i="10"/>
  <c r="G13" i="10"/>
  <c r="K13" i="10"/>
  <c r="E15" i="10"/>
  <c r="G15" i="10"/>
  <c r="K15" i="10"/>
  <c r="E18" i="10"/>
  <c r="E19" i="10"/>
  <c r="E20" i="10"/>
  <c r="E21" i="10"/>
  <c r="E22" i="10"/>
  <c r="E23" i="10"/>
  <c r="E24" i="10"/>
  <c r="G25" i="10"/>
  <c r="K25" i="10"/>
  <c r="G27" i="10"/>
  <c r="K27" i="10"/>
  <c r="G29" i="10"/>
  <c r="K29" i="10"/>
  <c r="G31" i="10"/>
  <c r="K31" i="10"/>
  <c r="C33" i="10"/>
  <c r="G35" i="10"/>
  <c r="G39" i="10" s="1"/>
  <c r="C39" i="10"/>
  <c r="E42" i="10"/>
  <c r="E41" i="10" s="1"/>
  <c r="G41" i="10" s="1"/>
  <c r="C50" i="10"/>
  <c r="E52" i="10"/>
  <c r="K52" i="10" s="1"/>
  <c r="G52" i="10"/>
  <c r="G55" i="10"/>
  <c r="K55" i="10"/>
  <c r="E57" i="10"/>
  <c r="G57" i="10" s="1"/>
  <c r="E60" i="10"/>
  <c r="G60" i="10" s="1"/>
  <c r="F60" i="10"/>
  <c r="F66" i="10"/>
  <c r="G66" i="10"/>
  <c r="K66" i="10"/>
  <c r="F69" i="10"/>
  <c r="G69" i="10" s="1"/>
  <c r="K69" i="10"/>
  <c r="C71" i="10"/>
  <c r="F73" i="10"/>
  <c r="G73" i="10" s="1"/>
  <c r="G74" i="10" s="1"/>
  <c r="G8" i="10" l="1"/>
  <c r="G11" i="10" s="1"/>
  <c r="K57" i="10"/>
  <c r="G20" i="13"/>
  <c r="G33" i="13"/>
  <c r="G35" i="13" s="1"/>
  <c r="E17" i="2" s="1"/>
  <c r="C23" i="1" s="1"/>
  <c r="G71" i="10"/>
  <c r="E17" i="10"/>
  <c r="K17" i="10" s="1"/>
  <c r="E49" i="10" s="1"/>
  <c r="G49" i="10" s="1"/>
  <c r="G50" i="10" s="1"/>
  <c r="K60" i="10"/>
  <c r="G17" i="10"/>
  <c r="G33" i="10" s="1"/>
  <c r="M41" i="10"/>
  <c r="E44" i="10" l="1"/>
  <c r="G44" i="10" s="1"/>
  <c r="E45" i="10"/>
  <c r="G45" i="10" s="1"/>
  <c r="E43" i="10"/>
  <c r="G43" i="10" s="1"/>
  <c r="E46" i="10"/>
  <c r="G46" i="10" s="1"/>
  <c r="G47" i="10" l="1"/>
  <c r="G79" i="10" s="1"/>
  <c r="E16" i="2" l="1"/>
  <c r="G119" i="9"/>
  <c r="G118" i="9"/>
  <c r="G105" i="8"/>
  <c r="G104" i="8"/>
  <c r="G85" i="7"/>
  <c r="G84" i="7"/>
  <c r="G51" i="5"/>
  <c r="G50" i="5"/>
  <c r="G75" i="3"/>
  <c r="G76" i="3"/>
  <c r="G276" i="9"/>
  <c r="G275" i="9"/>
  <c r="G274" i="9"/>
  <c r="G246" i="8"/>
  <c r="G245" i="8"/>
  <c r="G244" i="8"/>
  <c r="G243" i="8"/>
  <c r="G242" i="8"/>
  <c r="G194" i="7"/>
  <c r="G193" i="7"/>
  <c r="C22" i="1" l="1"/>
  <c r="G145" i="5"/>
  <c r="G144" i="5"/>
  <c r="G143" i="5"/>
  <c r="G146" i="5"/>
  <c r="G142" i="5"/>
  <c r="E66" i="9" l="1"/>
  <c r="E65" i="9"/>
  <c r="E64" i="9"/>
  <c r="E63" i="9"/>
  <c r="E61" i="9"/>
  <c r="E60" i="9" s="1"/>
  <c r="G241" i="8"/>
  <c r="G240" i="8"/>
  <c r="G237" i="8"/>
  <c r="G238" i="8"/>
  <c r="G273" i="9"/>
  <c r="G277" i="9"/>
  <c r="G278" i="9"/>
  <c r="G279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65" i="9"/>
  <c r="G166" i="9"/>
  <c r="G167" i="9"/>
  <c r="G168" i="9"/>
  <c r="G156" i="9"/>
  <c r="G158" i="9"/>
  <c r="G239" i="8"/>
  <c r="G247" i="8"/>
  <c r="G248" i="8"/>
  <c r="G249" i="8"/>
  <c r="G146" i="8"/>
  <c r="G147" i="8"/>
  <c r="G148" i="8"/>
  <c r="G149" i="8"/>
  <c r="G150" i="8"/>
  <c r="G151" i="8"/>
  <c r="G152" i="8"/>
  <c r="G153" i="8"/>
  <c r="G154" i="8"/>
  <c r="G155" i="8"/>
  <c r="G156" i="8"/>
  <c r="G139" i="8"/>
  <c r="G140" i="8"/>
  <c r="G141" i="8"/>
  <c r="G142" i="8"/>
  <c r="G130" i="8"/>
  <c r="G132" i="8"/>
  <c r="G192" i="7"/>
  <c r="G195" i="7"/>
  <c r="G196" i="7"/>
  <c r="G197" i="7"/>
  <c r="G122" i="7"/>
  <c r="G123" i="7"/>
  <c r="G124" i="7"/>
  <c r="G125" i="7"/>
  <c r="G126" i="7"/>
  <c r="G127" i="7"/>
  <c r="G128" i="7"/>
  <c r="G129" i="7"/>
  <c r="G130" i="7"/>
  <c r="G115" i="7"/>
  <c r="G116" i="7"/>
  <c r="G117" i="7"/>
  <c r="G118" i="7"/>
  <c r="G106" i="7"/>
  <c r="G108" i="7"/>
  <c r="G66" i="5"/>
  <c r="G68" i="5"/>
  <c r="G70" i="5"/>
  <c r="G77" i="5"/>
  <c r="G78" i="5"/>
  <c r="G79" i="5"/>
  <c r="G83" i="5"/>
  <c r="G84" i="5"/>
  <c r="G85" i="5"/>
  <c r="G86" i="5"/>
  <c r="G87" i="5"/>
  <c r="G88" i="5"/>
  <c r="G89" i="5"/>
  <c r="G141" i="5"/>
  <c r="G147" i="5"/>
  <c r="G148" i="5"/>
  <c r="G149" i="5"/>
  <c r="G19" i="3"/>
  <c r="G20" i="3"/>
  <c r="G21" i="3"/>
  <c r="G53" i="3"/>
  <c r="G54" i="3"/>
  <c r="G55" i="3"/>
  <c r="G56" i="3"/>
  <c r="G58" i="3"/>
  <c r="G59" i="3"/>
  <c r="G60" i="3"/>
  <c r="G62" i="3"/>
  <c r="G93" i="3"/>
  <c r="G95" i="3"/>
  <c r="G97" i="3"/>
  <c r="G104" i="3"/>
  <c r="G105" i="3"/>
  <c r="G106" i="3"/>
  <c r="G110" i="3"/>
  <c r="G111" i="3"/>
  <c r="G112" i="3"/>
  <c r="G113" i="3"/>
  <c r="G114" i="3"/>
  <c r="G115" i="3"/>
  <c r="G116" i="3"/>
  <c r="G117" i="3"/>
  <c r="G173" i="3"/>
  <c r="G174" i="3"/>
  <c r="G175" i="3"/>
  <c r="G176" i="3"/>
  <c r="G272" i="9"/>
  <c r="G187" i="9"/>
  <c r="E81" i="9"/>
  <c r="E88" i="9"/>
  <c r="G236" i="8"/>
  <c r="G159" i="8"/>
  <c r="E78" i="8"/>
  <c r="G78" i="8" s="1"/>
  <c r="G191" i="7"/>
  <c r="G133" i="7"/>
  <c r="E65" i="7"/>
  <c r="E52" i="7"/>
  <c r="G120" i="3"/>
  <c r="G172" i="3"/>
  <c r="E61" i="3"/>
  <c r="G61" i="3" s="1"/>
  <c r="G127" i="5"/>
  <c r="G215" i="8"/>
  <c r="G171" i="9"/>
  <c r="G164" i="9"/>
  <c r="G145" i="8"/>
  <c r="G138" i="8"/>
  <c r="E62" i="9" l="1"/>
  <c r="G62" i="9" s="1"/>
  <c r="G60" i="9"/>
  <c r="E151" i="9"/>
  <c r="E150" i="9"/>
  <c r="E149" i="9"/>
  <c r="E148" i="9"/>
  <c r="E147" i="9"/>
  <c r="E157" i="9"/>
  <c r="G157" i="9" s="1"/>
  <c r="E155" i="9"/>
  <c r="G155" i="9" s="1"/>
  <c r="E153" i="9"/>
  <c r="G88" i="9"/>
  <c r="E10" i="9"/>
  <c r="E11" i="9"/>
  <c r="E12" i="9"/>
  <c r="E13" i="9"/>
  <c r="E14" i="9"/>
  <c r="E15" i="9"/>
  <c r="E16" i="9"/>
  <c r="E17" i="9"/>
  <c r="E9" i="9"/>
  <c r="E162" i="8"/>
  <c r="G162" i="8" s="1"/>
  <c r="G23" i="8"/>
  <c r="G214" i="8"/>
  <c r="E10" i="8"/>
  <c r="E11" i="8"/>
  <c r="E12" i="8"/>
  <c r="E13" i="8"/>
  <c r="E14" i="8"/>
  <c r="E15" i="8"/>
  <c r="E9" i="8"/>
  <c r="E10" i="7"/>
  <c r="E11" i="7"/>
  <c r="E12" i="7"/>
  <c r="E13" i="7"/>
  <c r="E9" i="7"/>
  <c r="G11" i="5"/>
  <c r="E12" i="3"/>
  <c r="G12" i="3" s="1"/>
  <c r="E11" i="3"/>
  <c r="G11" i="3" s="1"/>
  <c r="E10" i="3"/>
  <c r="G10" i="3" s="1"/>
  <c r="E9" i="3"/>
  <c r="G9" i="3" s="1"/>
  <c r="E131" i="8"/>
  <c r="G131" i="8" s="1"/>
  <c r="E129" i="8"/>
  <c r="G129" i="8" s="1"/>
  <c r="E107" i="7"/>
  <c r="G107" i="7" s="1"/>
  <c r="E105" i="7"/>
  <c r="G105" i="7" s="1"/>
  <c r="G121" i="7"/>
  <c r="G114" i="7"/>
  <c r="G82" i="5"/>
  <c r="G76" i="5"/>
  <c r="G180" i="3"/>
  <c r="G181" i="3"/>
  <c r="G182" i="3"/>
  <c r="G183" i="3"/>
  <c r="G109" i="3"/>
  <c r="G103" i="3"/>
  <c r="E77" i="9"/>
  <c r="G77" i="9" s="1"/>
  <c r="E269" i="9"/>
  <c r="E259" i="9"/>
  <c r="E59" i="9"/>
  <c r="E39" i="9"/>
  <c r="E29" i="9"/>
  <c r="E209" i="9"/>
  <c r="E247" i="9"/>
  <c r="E199" i="9"/>
  <c r="E117" i="9"/>
  <c r="E219" i="9"/>
  <c r="E235" i="9"/>
  <c r="E225" i="9"/>
  <c r="E145" i="9"/>
  <c r="E135" i="9"/>
  <c r="E49" i="9"/>
  <c r="E105" i="9"/>
  <c r="E100" i="9"/>
  <c r="E268" i="9"/>
  <c r="E258" i="9"/>
  <c r="E58" i="9"/>
  <c r="E38" i="9"/>
  <c r="E28" i="9"/>
  <c r="E234" i="9"/>
  <c r="E134" i="9"/>
  <c r="E48" i="9"/>
  <c r="E208" i="9"/>
  <c r="E246" i="9"/>
  <c r="E198" i="9"/>
  <c r="E116" i="9"/>
  <c r="E104" i="9"/>
  <c r="E99" i="9"/>
  <c r="E267" i="9"/>
  <c r="E257" i="9"/>
  <c r="E245" i="9"/>
  <c r="E233" i="9"/>
  <c r="E207" i="9"/>
  <c r="E218" i="9"/>
  <c r="E197" i="9"/>
  <c r="E143" i="9"/>
  <c r="E133" i="9"/>
  <c r="E115" i="9"/>
  <c r="E98" i="9"/>
  <c r="E57" i="9"/>
  <c r="E47" i="9"/>
  <c r="E37" i="9"/>
  <c r="E27" i="9"/>
  <c r="E266" i="9"/>
  <c r="E256" i="9"/>
  <c r="E56" i="9"/>
  <c r="E36" i="9"/>
  <c r="E26" i="9"/>
  <c r="E206" i="9"/>
  <c r="E244" i="9"/>
  <c r="E196" i="9"/>
  <c r="E114" i="9"/>
  <c r="E97" i="9"/>
  <c r="E232" i="9"/>
  <c r="E142" i="9"/>
  <c r="E132" i="9"/>
  <c r="E46" i="9"/>
  <c r="E265" i="9"/>
  <c r="E255" i="9"/>
  <c r="E243" i="9"/>
  <c r="E231" i="9"/>
  <c r="E224" i="9"/>
  <c r="E217" i="9"/>
  <c r="E205" i="9"/>
  <c r="E195" i="9"/>
  <c r="E141" i="9"/>
  <c r="E131" i="9"/>
  <c r="E113" i="9"/>
  <c r="E103" i="9"/>
  <c r="E96" i="9"/>
  <c r="E55" i="9"/>
  <c r="E45" i="9"/>
  <c r="E35" i="9"/>
  <c r="E25" i="9"/>
  <c r="E264" i="9"/>
  <c r="E254" i="9"/>
  <c r="E204" i="9"/>
  <c r="E242" i="9"/>
  <c r="E216" i="9"/>
  <c r="E194" i="9"/>
  <c r="E230" i="9"/>
  <c r="E140" i="9"/>
  <c r="E130" i="9"/>
  <c r="E112" i="9"/>
  <c r="E95" i="9"/>
  <c r="E54" i="9"/>
  <c r="E44" i="9"/>
  <c r="E34" i="9"/>
  <c r="E24" i="9"/>
  <c r="E263" i="9"/>
  <c r="E253" i="9"/>
  <c r="E229" i="9"/>
  <c r="E203" i="9"/>
  <c r="E241" i="9"/>
  <c r="E215" i="9"/>
  <c r="E193" i="9"/>
  <c r="E139" i="9"/>
  <c r="E129" i="9"/>
  <c r="E111" i="9"/>
  <c r="E94" i="9"/>
  <c r="E53" i="9"/>
  <c r="E43" i="9"/>
  <c r="E33" i="9"/>
  <c r="E23" i="9"/>
  <c r="E262" i="9"/>
  <c r="E252" i="9"/>
  <c r="E261" i="9"/>
  <c r="E251" i="9"/>
  <c r="E202" i="9"/>
  <c r="E240" i="9"/>
  <c r="E214" i="9"/>
  <c r="E192" i="9"/>
  <c r="E228" i="9"/>
  <c r="E138" i="9"/>
  <c r="E128" i="9"/>
  <c r="E110" i="9"/>
  <c r="E102" i="9"/>
  <c r="E93" i="9"/>
  <c r="E52" i="9"/>
  <c r="E42" i="9"/>
  <c r="E32" i="9"/>
  <c r="E22" i="9"/>
  <c r="E51" i="9"/>
  <c r="E31" i="9"/>
  <c r="E21" i="9"/>
  <c r="E201" i="9"/>
  <c r="E239" i="9"/>
  <c r="E191" i="9"/>
  <c r="E109" i="9"/>
  <c r="E213" i="9"/>
  <c r="E92" i="9"/>
  <c r="E227" i="9"/>
  <c r="E41" i="9"/>
  <c r="E137" i="9"/>
  <c r="E127" i="9"/>
  <c r="E227" i="8"/>
  <c r="E73" i="8"/>
  <c r="G73" i="8" s="1"/>
  <c r="E65" i="8"/>
  <c r="G65" i="8" s="1"/>
  <c r="E233" i="8"/>
  <c r="E225" i="8"/>
  <c r="E203" i="8"/>
  <c r="E195" i="8"/>
  <c r="E213" i="8"/>
  <c r="E188" i="8"/>
  <c r="E178" i="8"/>
  <c r="E170" i="8"/>
  <c r="E127" i="8"/>
  <c r="E119" i="8"/>
  <c r="E103" i="8"/>
  <c r="E93" i="8"/>
  <c r="E88" i="8"/>
  <c r="E33" i="8"/>
  <c r="E62" i="8"/>
  <c r="E54" i="8"/>
  <c r="E49" i="8"/>
  <c r="E41" i="8"/>
  <c r="E20" i="8"/>
  <c r="E255" i="8"/>
  <c r="G255" i="8" s="1"/>
  <c r="E232" i="8"/>
  <c r="E224" i="8"/>
  <c r="E212" i="8"/>
  <c r="E177" i="8"/>
  <c r="E187" i="8"/>
  <c r="E169" i="8"/>
  <c r="E102" i="8"/>
  <c r="E92" i="8"/>
  <c r="E87" i="8"/>
  <c r="E31" i="8"/>
  <c r="E32" i="8"/>
  <c r="E61" i="8"/>
  <c r="E53" i="8"/>
  <c r="E194" i="8"/>
  <c r="E202" i="8"/>
  <c r="E48" i="8"/>
  <c r="E118" i="8"/>
  <c r="E126" i="8"/>
  <c r="E40" i="8"/>
  <c r="E19" i="8"/>
  <c r="E231" i="8"/>
  <c r="E223" i="8"/>
  <c r="E211" i="8"/>
  <c r="E201" i="8"/>
  <c r="E186" i="8"/>
  <c r="E176" i="8"/>
  <c r="E168" i="8"/>
  <c r="E125" i="8"/>
  <c r="E117" i="8"/>
  <c r="E101" i="8"/>
  <c r="E86" i="8"/>
  <c r="E60" i="8"/>
  <c r="E52" i="8"/>
  <c r="E47" i="8"/>
  <c r="E39" i="8"/>
  <c r="E18" i="8"/>
  <c r="E230" i="8"/>
  <c r="E222" i="8"/>
  <c r="E200" i="8"/>
  <c r="E124" i="8"/>
  <c r="E116" i="8"/>
  <c r="E59" i="8"/>
  <c r="E46" i="8"/>
  <c r="E38" i="8"/>
  <c r="E30" i="8"/>
  <c r="E85" i="8"/>
  <c r="E175" i="8"/>
  <c r="E210" i="8"/>
  <c r="E167" i="8"/>
  <c r="E100" i="8"/>
  <c r="E185" i="8"/>
  <c r="E51" i="8"/>
  <c r="E17" i="8"/>
  <c r="E229" i="8"/>
  <c r="E221" i="8"/>
  <c r="E58" i="8"/>
  <c r="E37" i="8"/>
  <c r="E29" i="8"/>
  <c r="E174" i="8"/>
  <c r="E166" i="8"/>
  <c r="E209" i="8"/>
  <c r="E184" i="8"/>
  <c r="E99" i="8"/>
  <c r="E91" i="8"/>
  <c r="E84" i="8"/>
  <c r="E199" i="8"/>
  <c r="E193" i="8"/>
  <c r="E45" i="8"/>
  <c r="E123" i="8"/>
  <c r="E115" i="8"/>
  <c r="E228" i="8"/>
  <c r="E220" i="8"/>
  <c r="E57" i="8"/>
  <c r="E36" i="8"/>
  <c r="E28" i="8"/>
  <c r="E173" i="8"/>
  <c r="E208" i="8"/>
  <c r="E165" i="8"/>
  <c r="E98" i="8"/>
  <c r="E183" i="8"/>
  <c r="E90" i="8"/>
  <c r="E44" i="8"/>
  <c r="E114" i="8"/>
  <c r="E122" i="8"/>
  <c r="E192" i="8"/>
  <c r="E198" i="8"/>
  <c r="E83" i="8"/>
  <c r="E219" i="8"/>
  <c r="E56" i="8"/>
  <c r="E35" i="8"/>
  <c r="E27" i="8"/>
  <c r="E172" i="8"/>
  <c r="E207" i="8"/>
  <c r="E164" i="8"/>
  <c r="E97" i="8"/>
  <c r="E182" i="8"/>
  <c r="E22" i="8"/>
  <c r="E21" i="8" s="1"/>
  <c r="G21" i="8" s="1"/>
  <c r="E82" i="8"/>
  <c r="E197" i="8"/>
  <c r="E43" i="8"/>
  <c r="E121" i="8"/>
  <c r="E113" i="8"/>
  <c r="C280" i="9"/>
  <c r="C270" i="9"/>
  <c r="C248" i="9"/>
  <c r="C236" i="9"/>
  <c r="C220" i="9"/>
  <c r="C210" i="9"/>
  <c r="C188" i="9"/>
  <c r="C185" i="9"/>
  <c r="C169" i="9"/>
  <c r="G169" i="9"/>
  <c r="C162" i="9"/>
  <c r="G161" i="9"/>
  <c r="G162" i="9" s="1"/>
  <c r="C159" i="9"/>
  <c r="G154" i="9"/>
  <c r="C124" i="9"/>
  <c r="G123" i="9"/>
  <c r="G124" i="9" s="1"/>
  <c r="C121" i="9"/>
  <c r="C106" i="9"/>
  <c r="G81" i="9"/>
  <c r="E69" i="9"/>
  <c r="G69" i="9" s="1"/>
  <c r="C67" i="9"/>
  <c r="C18" i="9"/>
  <c r="C4" i="9"/>
  <c r="C3" i="9"/>
  <c r="C258" i="8"/>
  <c r="E252" i="8"/>
  <c r="G252" i="8" s="1"/>
  <c r="C250" i="8"/>
  <c r="C234" i="8"/>
  <c r="C216" i="8"/>
  <c r="C204" i="8"/>
  <c r="C189" i="8"/>
  <c r="C179" i="8"/>
  <c r="C160" i="8"/>
  <c r="C157" i="8"/>
  <c r="C143" i="8"/>
  <c r="G143" i="8"/>
  <c r="C136" i="8"/>
  <c r="G135" i="8"/>
  <c r="G136" i="8" s="1"/>
  <c r="C133" i="8"/>
  <c r="G128" i="8"/>
  <c r="C110" i="8"/>
  <c r="G109" i="8"/>
  <c r="G110" i="8" s="1"/>
  <c r="C107" i="8"/>
  <c r="C94" i="8"/>
  <c r="C63" i="8"/>
  <c r="C24" i="8"/>
  <c r="C4" i="8"/>
  <c r="C3" i="8"/>
  <c r="E188" i="7"/>
  <c r="E187" i="7"/>
  <c r="E182" i="7"/>
  <c r="E174" i="7"/>
  <c r="E155" i="7"/>
  <c r="E147" i="7"/>
  <c r="E141" i="7"/>
  <c r="E83" i="7"/>
  <c r="E73" i="7"/>
  <c r="E166" i="7"/>
  <c r="E103" i="7"/>
  <c r="E97" i="7"/>
  <c r="E49" i="7"/>
  <c r="E43" i="7"/>
  <c r="E38" i="7"/>
  <c r="E32" i="7"/>
  <c r="E26" i="7"/>
  <c r="E18" i="7"/>
  <c r="E186" i="7"/>
  <c r="E180" i="7"/>
  <c r="E181" i="7"/>
  <c r="E173" i="7"/>
  <c r="E154" i="7"/>
  <c r="E146" i="7"/>
  <c r="E140" i="7"/>
  <c r="E82" i="7"/>
  <c r="E48" i="7"/>
  <c r="E42" i="7"/>
  <c r="E31" i="7"/>
  <c r="E25" i="7"/>
  <c r="E72" i="7"/>
  <c r="E165" i="7"/>
  <c r="E37" i="7"/>
  <c r="E102" i="7"/>
  <c r="E96" i="7"/>
  <c r="E17" i="7"/>
  <c r="E46" i="7"/>
  <c r="E23" i="7"/>
  <c r="E24" i="7"/>
  <c r="E30" i="7"/>
  <c r="E41" i="7"/>
  <c r="E47" i="7"/>
  <c r="E145" i="7"/>
  <c r="E172" i="7"/>
  <c r="E139" i="7"/>
  <c r="E81" i="7"/>
  <c r="E153" i="7"/>
  <c r="E71" i="7"/>
  <c r="E16" i="7"/>
  <c r="E164" i="7"/>
  <c r="E36" i="7"/>
  <c r="E95" i="7"/>
  <c r="E101" i="7"/>
  <c r="E185" i="7"/>
  <c r="E179" i="7"/>
  <c r="E40" i="7"/>
  <c r="E29" i="7"/>
  <c r="E144" i="7"/>
  <c r="E171" i="7"/>
  <c r="E138" i="7"/>
  <c r="E80" i="7"/>
  <c r="E152" i="7"/>
  <c r="E70" i="7"/>
  <c r="E163" i="7"/>
  <c r="E35" i="7"/>
  <c r="E100" i="7"/>
  <c r="E94" i="7"/>
  <c r="E15" i="7"/>
  <c r="E184" i="7"/>
  <c r="E178" i="7"/>
  <c r="E45" i="7"/>
  <c r="E28" i="7"/>
  <c r="E22" i="7"/>
  <c r="E162" i="7"/>
  <c r="E34" i="7"/>
  <c r="E93" i="7"/>
  <c r="E99" i="7"/>
  <c r="E75" i="7"/>
  <c r="E74" i="7" s="1"/>
  <c r="G74" i="7" s="1"/>
  <c r="E69" i="7"/>
  <c r="E143" i="7"/>
  <c r="E170" i="7"/>
  <c r="E137" i="7"/>
  <c r="E79" i="7"/>
  <c r="E151" i="7"/>
  <c r="E60" i="7"/>
  <c r="G60" i="7" s="1"/>
  <c r="E58" i="7"/>
  <c r="G58" i="7" s="1"/>
  <c r="G52" i="7"/>
  <c r="E62" i="7"/>
  <c r="G62" i="7" s="1"/>
  <c r="E200" i="7"/>
  <c r="G200" i="7" s="1"/>
  <c r="G205" i="7" s="1"/>
  <c r="C205" i="7"/>
  <c r="C198" i="7"/>
  <c r="G198" i="7"/>
  <c r="C189" i="7"/>
  <c r="C175" i="7"/>
  <c r="C167" i="7"/>
  <c r="C156" i="7"/>
  <c r="C148" i="7"/>
  <c r="C134" i="7"/>
  <c r="C131" i="7"/>
  <c r="C119" i="7"/>
  <c r="C112" i="7"/>
  <c r="G111" i="7"/>
  <c r="G112" i="7" s="1"/>
  <c r="C109" i="7"/>
  <c r="G104" i="7"/>
  <c r="C90" i="7"/>
  <c r="G89" i="7"/>
  <c r="G90" i="7" s="1"/>
  <c r="C87" i="7"/>
  <c r="C76" i="7"/>
  <c r="C50" i="7"/>
  <c r="C19" i="7"/>
  <c r="C4" i="7"/>
  <c r="C3" i="7"/>
  <c r="E69" i="5"/>
  <c r="G69" i="5" s="1"/>
  <c r="E67" i="5"/>
  <c r="G67" i="5" s="1"/>
  <c r="E96" i="3"/>
  <c r="G96" i="3" s="1"/>
  <c r="E94" i="3"/>
  <c r="G94" i="3" s="1"/>
  <c r="E43" i="5"/>
  <c r="E41" i="5"/>
  <c r="E40" i="5"/>
  <c r="E39" i="5"/>
  <c r="C93" i="5"/>
  <c r="G92" i="5"/>
  <c r="E115" i="5"/>
  <c r="E114" i="5"/>
  <c r="E116" i="5"/>
  <c r="E65" i="5"/>
  <c r="E64" i="5"/>
  <c r="E63" i="5"/>
  <c r="E61" i="5"/>
  <c r="E60" i="5"/>
  <c r="E59" i="5"/>
  <c r="E25" i="5"/>
  <c r="E24" i="5"/>
  <c r="E23" i="5"/>
  <c r="E123" i="5"/>
  <c r="G123" i="5" s="1"/>
  <c r="C121" i="3"/>
  <c r="E39" i="3"/>
  <c r="G39" i="3" s="1"/>
  <c r="E38" i="3"/>
  <c r="G38" i="3" s="1"/>
  <c r="E37" i="3"/>
  <c r="G37" i="3" s="1"/>
  <c r="E36" i="3"/>
  <c r="G36" i="3" s="1"/>
  <c r="E87" i="3"/>
  <c r="G87" i="3" s="1"/>
  <c r="E86" i="3"/>
  <c r="G86" i="3" s="1"/>
  <c r="E85" i="3"/>
  <c r="G85" i="3" s="1"/>
  <c r="E84" i="3"/>
  <c r="G84" i="3" s="1"/>
  <c r="E92" i="3"/>
  <c r="G92" i="3" s="1"/>
  <c r="E91" i="3"/>
  <c r="G91" i="3" s="1"/>
  <c r="E90" i="3"/>
  <c r="G90" i="3" s="1"/>
  <c r="E142" i="3"/>
  <c r="E145" i="3"/>
  <c r="E144" i="3"/>
  <c r="E143" i="3"/>
  <c r="E89" i="3"/>
  <c r="G89" i="3" s="1"/>
  <c r="E67" i="3"/>
  <c r="E66" i="3"/>
  <c r="E65" i="3"/>
  <c r="E64" i="3"/>
  <c r="G64" i="3" s="1"/>
  <c r="E106" i="5"/>
  <c r="E10" i="5"/>
  <c r="E132" i="5"/>
  <c r="E9" i="5"/>
  <c r="E131" i="5"/>
  <c r="E57" i="3"/>
  <c r="G57" i="3" s="1"/>
  <c r="E137" i="5"/>
  <c r="E133" i="5"/>
  <c r="E122" i="5"/>
  <c r="E107" i="5"/>
  <c r="E102" i="5"/>
  <c r="E98" i="5"/>
  <c r="E49" i="5"/>
  <c r="E29" i="5"/>
  <c r="E36" i="5"/>
  <c r="G36" i="5" s="1"/>
  <c r="E21" i="5"/>
  <c r="E17" i="5"/>
  <c r="E136" i="5"/>
  <c r="E121" i="5"/>
  <c r="E101" i="5"/>
  <c r="E97" i="5"/>
  <c r="E48" i="5"/>
  <c r="E28" i="5"/>
  <c r="E20" i="5"/>
  <c r="E16" i="5"/>
  <c r="E27" i="5"/>
  <c r="E15" i="5"/>
  <c r="E19" i="5"/>
  <c r="E135" i="5"/>
  <c r="E100" i="5"/>
  <c r="E120" i="5"/>
  <c r="E96" i="5"/>
  <c r="E47" i="5"/>
  <c r="C150" i="5"/>
  <c r="G140" i="5"/>
  <c r="G150" i="5" s="1"/>
  <c r="C138" i="5"/>
  <c r="C128" i="5"/>
  <c r="C117" i="5"/>
  <c r="C108" i="5"/>
  <c r="C103" i="5"/>
  <c r="C90" i="5"/>
  <c r="C80" i="5"/>
  <c r="C74" i="5"/>
  <c r="G73" i="5"/>
  <c r="G74" i="5" s="1"/>
  <c r="C71" i="5"/>
  <c r="C56" i="5"/>
  <c r="G55" i="5"/>
  <c r="C53" i="5"/>
  <c r="C44" i="5"/>
  <c r="E32" i="5"/>
  <c r="G32" i="5" s="1"/>
  <c r="C30" i="5"/>
  <c r="C12" i="5"/>
  <c r="C4" i="5"/>
  <c r="C3" i="5"/>
  <c r="E34" i="3"/>
  <c r="G34" i="3" s="1"/>
  <c r="E33" i="3"/>
  <c r="G33" i="3" s="1"/>
  <c r="E32" i="3"/>
  <c r="G32" i="3" s="1"/>
  <c r="E31" i="3"/>
  <c r="G31" i="3" s="1"/>
  <c r="E29" i="3"/>
  <c r="G29" i="3" s="1"/>
  <c r="E28" i="3"/>
  <c r="G28" i="3" s="1"/>
  <c r="E27" i="3"/>
  <c r="G27" i="3" s="1"/>
  <c r="E26" i="3"/>
  <c r="G26" i="3" s="1"/>
  <c r="E179" i="3"/>
  <c r="G179" i="3" s="1"/>
  <c r="E153" i="3"/>
  <c r="G153" i="3" s="1"/>
  <c r="E52" i="3"/>
  <c r="E18" i="3"/>
  <c r="G18" i="3" s="1"/>
  <c r="E169" i="3"/>
  <c r="E164" i="3"/>
  <c r="E152" i="3"/>
  <c r="E132" i="3"/>
  <c r="E127" i="3"/>
  <c r="E74" i="3"/>
  <c r="G74" i="3" s="1"/>
  <c r="E73" i="3"/>
  <c r="G73" i="3" s="1"/>
  <c r="E72" i="3"/>
  <c r="G72" i="3" s="1"/>
  <c r="E71" i="3"/>
  <c r="G71" i="3" s="1"/>
  <c r="E49" i="3"/>
  <c r="E44" i="3"/>
  <c r="G44" i="3" s="1"/>
  <c r="E17" i="3"/>
  <c r="G17" i="3" s="1"/>
  <c r="E168" i="3"/>
  <c r="E163" i="3"/>
  <c r="E151" i="3"/>
  <c r="E131" i="3"/>
  <c r="E126" i="3"/>
  <c r="E46" i="3"/>
  <c r="G46" i="3" s="1"/>
  <c r="E47" i="3"/>
  <c r="G47" i="3" s="1"/>
  <c r="E48" i="3"/>
  <c r="G48" i="3" s="1"/>
  <c r="E43" i="3"/>
  <c r="G43" i="3" s="1"/>
  <c r="E16" i="3"/>
  <c r="G16" i="3" s="1"/>
  <c r="E42" i="3"/>
  <c r="G42" i="3" s="1"/>
  <c r="E130" i="3"/>
  <c r="E150" i="3"/>
  <c r="E125" i="3"/>
  <c r="E136" i="3"/>
  <c r="E135" i="3" s="1"/>
  <c r="E167" i="3"/>
  <c r="E162" i="3"/>
  <c r="E15" i="3"/>
  <c r="G15" i="3" s="1"/>
  <c r="E166" i="3"/>
  <c r="E161" i="3"/>
  <c r="C146" i="3"/>
  <c r="E41" i="3"/>
  <c r="G41" i="3" s="1"/>
  <c r="E149" i="3"/>
  <c r="E129" i="3"/>
  <c r="E124" i="3"/>
  <c r="E14" i="3"/>
  <c r="G14" i="3" s="1"/>
  <c r="C23" i="3"/>
  <c r="C3" i="3"/>
  <c r="E62" i="5" l="1"/>
  <c r="G62" i="5" s="1"/>
  <c r="E42" i="5"/>
  <c r="G42" i="5" s="1"/>
  <c r="G157" i="8"/>
  <c r="G185" i="9"/>
  <c r="E152" i="9"/>
  <c r="G152" i="9" s="1"/>
  <c r="E146" i="9"/>
  <c r="E8" i="9"/>
  <c r="G8" i="9" s="1"/>
  <c r="G18" i="9" s="1"/>
  <c r="E101" i="9"/>
  <c r="G101" i="9" s="1"/>
  <c r="G258" i="8"/>
  <c r="E8" i="8"/>
  <c r="G8" i="8" s="1"/>
  <c r="E191" i="8"/>
  <c r="G191" i="8" s="1"/>
  <c r="E8" i="7"/>
  <c r="G8" i="7" s="1"/>
  <c r="E8" i="3"/>
  <c r="G131" i="7"/>
  <c r="E89" i="8"/>
  <c r="G89" i="8" s="1"/>
  <c r="G119" i="7"/>
  <c r="G184" i="3"/>
  <c r="E222" i="9"/>
  <c r="G222" i="9" s="1"/>
  <c r="E238" i="9"/>
  <c r="G238" i="9" s="1"/>
  <c r="G248" i="9" s="1"/>
  <c r="E136" i="9"/>
  <c r="G136" i="9" s="1"/>
  <c r="E226" i="9"/>
  <c r="G226" i="9" s="1"/>
  <c r="G188" i="9"/>
  <c r="E91" i="9"/>
  <c r="G91" i="9" s="1"/>
  <c r="E108" i="9"/>
  <c r="G108" i="9" s="1"/>
  <c r="E260" i="9"/>
  <c r="G260" i="9" s="1"/>
  <c r="E190" i="9"/>
  <c r="G190" i="9" s="1"/>
  <c r="E30" i="9"/>
  <c r="G30" i="9" s="1"/>
  <c r="G280" i="9"/>
  <c r="E50" i="9"/>
  <c r="G50" i="9" s="1"/>
  <c r="E40" i="9"/>
  <c r="G40" i="9" s="1"/>
  <c r="E212" i="9"/>
  <c r="G212" i="9" s="1"/>
  <c r="G220" i="9" s="1"/>
  <c r="E200" i="9"/>
  <c r="G200" i="9" s="1"/>
  <c r="E126" i="9"/>
  <c r="G126" i="9" s="1"/>
  <c r="E250" i="9"/>
  <c r="G250" i="9" s="1"/>
  <c r="E20" i="9"/>
  <c r="G20" i="9" s="1"/>
  <c r="E50" i="8"/>
  <c r="G50" i="8" s="1"/>
  <c r="G160" i="8"/>
  <c r="E206" i="8"/>
  <c r="G206" i="8" s="1"/>
  <c r="G216" i="8" s="1"/>
  <c r="E16" i="8"/>
  <c r="G16" i="8" s="1"/>
  <c r="E55" i="8"/>
  <c r="G55" i="8" s="1"/>
  <c r="E181" i="8"/>
  <c r="G181" i="8" s="1"/>
  <c r="G189" i="8" s="1"/>
  <c r="E196" i="8"/>
  <c r="G196" i="8" s="1"/>
  <c r="E96" i="8"/>
  <c r="G96" i="8" s="1"/>
  <c r="E163" i="8"/>
  <c r="G163" i="8" s="1"/>
  <c r="E226" i="8"/>
  <c r="G226" i="8" s="1"/>
  <c r="E26" i="8"/>
  <c r="G26" i="8" s="1"/>
  <c r="E171" i="8"/>
  <c r="G171" i="8" s="1"/>
  <c r="E218" i="8"/>
  <c r="G218" i="8" s="1"/>
  <c r="E42" i="8"/>
  <c r="G42" i="8" s="1"/>
  <c r="E81" i="8"/>
  <c r="G81" i="8" s="1"/>
  <c r="E34" i="8"/>
  <c r="G34" i="8" s="1"/>
  <c r="E120" i="8"/>
  <c r="G120" i="8" s="1"/>
  <c r="E112" i="8"/>
  <c r="G112" i="8" s="1"/>
  <c r="G250" i="8"/>
  <c r="G134" i="7"/>
  <c r="E150" i="7"/>
  <c r="G150" i="7" s="1"/>
  <c r="G156" i="7" s="1"/>
  <c r="E183" i="7"/>
  <c r="G183" i="7" s="1"/>
  <c r="E33" i="7"/>
  <c r="G33" i="7" s="1"/>
  <c r="E161" i="7"/>
  <c r="G161" i="7" s="1"/>
  <c r="E21" i="7"/>
  <c r="G21" i="7" s="1"/>
  <c r="E158" i="7"/>
  <c r="G158" i="7" s="1"/>
  <c r="E44" i="7"/>
  <c r="G44" i="7" s="1"/>
  <c r="E14" i="7"/>
  <c r="G14" i="7" s="1"/>
  <c r="E68" i="7"/>
  <c r="E92" i="7"/>
  <c r="G92" i="7" s="1"/>
  <c r="E78" i="7"/>
  <c r="E86" i="7" s="1"/>
  <c r="G86" i="7" s="1"/>
  <c r="E39" i="7"/>
  <c r="G39" i="7" s="1"/>
  <c r="E177" i="7"/>
  <c r="G177" i="7" s="1"/>
  <c r="E27" i="7"/>
  <c r="G27" i="7" s="1"/>
  <c r="E169" i="7"/>
  <c r="G169" i="7" s="1"/>
  <c r="G175" i="7" s="1"/>
  <c r="E136" i="7"/>
  <c r="G136" i="7" s="1"/>
  <c r="E98" i="7"/>
  <c r="G98" i="7" s="1"/>
  <c r="E142" i="7"/>
  <c r="G142" i="7" s="1"/>
  <c r="G93" i="5"/>
  <c r="E38" i="5"/>
  <c r="G38" i="5" s="1"/>
  <c r="E113" i="5"/>
  <c r="G113" i="5" s="1"/>
  <c r="E141" i="3"/>
  <c r="G141" i="3" s="1"/>
  <c r="E88" i="3"/>
  <c r="G88" i="3" s="1"/>
  <c r="E83" i="3"/>
  <c r="G83" i="3" s="1"/>
  <c r="E63" i="3"/>
  <c r="G63" i="3" s="1"/>
  <c r="E13" i="3"/>
  <c r="G13" i="3" s="1"/>
  <c r="E25" i="3"/>
  <c r="E30" i="3"/>
  <c r="G30" i="3" s="1"/>
  <c r="E8" i="5"/>
  <c r="G8" i="5" s="1"/>
  <c r="G12" i="5" s="1"/>
  <c r="E105" i="5"/>
  <c r="G105" i="5" s="1"/>
  <c r="G108" i="5" s="1"/>
  <c r="E160" i="3"/>
  <c r="E14" i="5"/>
  <c r="G14" i="5" s="1"/>
  <c r="E119" i="5"/>
  <c r="G119" i="5" s="1"/>
  <c r="G128" i="5" s="1"/>
  <c r="E134" i="5"/>
  <c r="G134" i="5" s="1"/>
  <c r="E95" i="5"/>
  <c r="G95" i="5" s="1"/>
  <c r="E22" i="5"/>
  <c r="G22" i="5" s="1"/>
  <c r="E26" i="5"/>
  <c r="G26" i="5" s="1"/>
  <c r="G90" i="5"/>
  <c r="G56" i="5"/>
  <c r="E99" i="5"/>
  <c r="G99" i="5" s="1"/>
  <c r="E46" i="5"/>
  <c r="G46" i="5" s="1"/>
  <c r="E130" i="5"/>
  <c r="G130" i="5" s="1"/>
  <c r="E58" i="5"/>
  <c r="G58" i="5" s="1"/>
  <c r="E18" i="5"/>
  <c r="G18" i="5" s="1"/>
  <c r="G110" i="5"/>
  <c r="G80" i="5"/>
  <c r="E165" i="3"/>
  <c r="E128" i="3"/>
  <c r="G128" i="3" s="1"/>
  <c r="E40" i="3"/>
  <c r="G40" i="3" s="1"/>
  <c r="E148" i="3"/>
  <c r="E70" i="3"/>
  <c r="E77" i="3" s="1"/>
  <c r="G77" i="3" s="1"/>
  <c r="G139" i="3"/>
  <c r="E45" i="3"/>
  <c r="G45" i="3" s="1"/>
  <c r="E35" i="3"/>
  <c r="G35" i="3" s="1"/>
  <c r="E123" i="3"/>
  <c r="G67" i="9" l="1"/>
  <c r="G44" i="5"/>
  <c r="G94" i="8"/>
  <c r="G179" i="8"/>
  <c r="G24" i="8"/>
  <c r="G65" i="7"/>
  <c r="G68" i="7"/>
  <c r="G146" i="9"/>
  <c r="G159" i="9" s="1"/>
  <c r="G106" i="9"/>
  <c r="G19" i="7"/>
  <c r="G189" i="7"/>
  <c r="G167" i="7"/>
  <c r="G146" i="3"/>
  <c r="G236" i="9"/>
  <c r="E120" i="9"/>
  <c r="G120" i="9" s="1"/>
  <c r="G121" i="9" s="1"/>
  <c r="G210" i="9"/>
  <c r="G270" i="9"/>
  <c r="G204" i="8"/>
  <c r="G234" i="8"/>
  <c r="E106" i="8"/>
  <c r="G106" i="8" s="1"/>
  <c r="G107" i="8" s="1"/>
  <c r="G63" i="8"/>
  <c r="G133" i="8"/>
  <c r="G117" i="5"/>
  <c r="G109" i="7"/>
  <c r="G78" i="7"/>
  <c r="G87" i="7" s="1"/>
  <c r="G50" i="7"/>
  <c r="G148" i="7"/>
  <c r="G8" i="3"/>
  <c r="G71" i="5"/>
  <c r="G138" i="5"/>
  <c r="G103" i="5"/>
  <c r="G30" i="5"/>
  <c r="E52" i="5"/>
  <c r="G52" i="5" s="1"/>
  <c r="G76" i="7" l="1"/>
  <c r="G207" i="7" s="1"/>
  <c r="G282" i="9"/>
  <c r="E15" i="2" s="1"/>
  <c r="C21" i="1" s="1"/>
  <c r="G260" i="8"/>
  <c r="E13" i="2" s="1"/>
  <c r="C19" i="1" s="1"/>
  <c r="G23" i="3"/>
  <c r="G53" i="5"/>
  <c r="E11" i="2" l="1"/>
  <c r="C17" i="1" s="1"/>
  <c r="G160" i="3"/>
  <c r="G135" i="3"/>
  <c r="G137" i="3" l="1"/>
  <c r="G148" i="3"/>
  <c r="G158" i="3" s="1"/>
  <c r="C184" i="3" l="1"/>
  <c r="D14" i="1" l="1"/>
  <c r="C177" i="3"/>
  <c r="G165" i="3"/>
  <c r="C170" i="3"/>
  <c r="C158" i="3"/>
  <c r="C137" i="3"/>
  <c r="G123" i="3"/>
  <c r="G121" i="3"/>
  <c r="C133" i="3"/>
  <c r="C118" i="3"/>
  <c r="C107" i="3"/>
  <c r="G100" i="3"/>
  <c r="C101" i="3"/>
  <c r="C98" i="3"/>
  <c r="G80" i="3"/>
  <c r="C81" i="3"/>
  <c r="G70" i="3"/>
  <c r="C78" i="3"/>
  <c r="G52" i="3"/>
  <c r="C68" i="3"/>
  <c r="G25" i="3"/>
  <c r="G50" i="3" s="1"/>
  <c r="C50" i="3"/>
  <c r="C4" i="3"/>
  <c r="C2" i="2"/>
  <c r="C1" i="2"/>
  <c r="F35" i="1"/>
  <c r="G170" i="3" l="1"/>
  <c r="G68" i="3"/>
  <c r="G133" i="3"/>
  <c r="G101" i="3"/>
  <c r="G177" i="3"/>
  <c r="G107" i="3"/>
  <c r="G81" i="3"/>
  <c r="G98" i="3"/>
  <c r="G118" i="3"/>
  <c r="G78" i="3"/>
  <c r="G186" i="3" l="1"/>
  <c r="E8" i="2" s="1"/>
  <c r="C14" i="1" l="1"/>
  <c r="G152" i="5"/>
  <c r="E10" i="2" s="1"/>
  <c r="E18" i="2" s="1"/>
  <c r="F24" i="2" l="1"/>
  <c r="G24" i="2" s="1"/>
  <c r="C16" i="1"/>
  <c r="C25" i="1" s="1"/>
  <c r="G25" i="2" l="1"/>
  <c r="G14" i="1"/>
  <c r="G26" i="1" s="1"/>
  <c r="C26" i="1" s="1"/>
  <c r="F33" i="1" l="1"/>
  <c r="F36" i="1"/>
  <c r="F37" i="1" l="1"/>
  <c r="F38" i="1" s="1"/>
</calcChain>
</file>

<file path=xl/sharedStrings.xml><?xml version="1.0" encoding="utf-8"?>
<sst xmlns="http://schemas.openxmlformats.org/spreadsheetml/2006/main" count="2419" uniqueCount="741">
  <si>
    <t>KRYCÍ LIST ROZPOČTU</t>
  </si>
  <si>
    <t>Objekt :</t>
  </si>
  <si>
    <t>Název objektu :</t>
  </si>
  <si>
    <t>FF UK OSIP PRAHA 1, NÁM. JANA PALACHA 2</t>
  </si>
  <si>
    <t>Stavba :</t>
  </si>
  <si>
    <t>Název stavby :</t>
  </si>
  <si>
    <t>REKONSTRUKCE PROSTOR PRO DOKTORANDSKÁ STUDIA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</si>
  <si>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</si>
  <si>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</si>
  <si>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</si>
  <si>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</si>
  <si>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</si>
  <si>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</si>
  <si>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</si>
  <si>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</si>
  <si>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</si>
  <si>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</si>
  <si>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</si>
  <si>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1.NP</t>
  </si>
  <si>
    <t>2.NP</t>
  </si>
  <si>
    <t>3.NP</t>
  </si>
  <si>
    <t>4.NP</t>
  </si>
  <si>
    <t>5.NP</t>
  </si>
  <si>
    <t>CELKEM</t>
  </si>
  <si>
    <t>Ostatní VRN</t>
  </si>
  <si>
    <t>CELKEM+VRN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</si>
  <si>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</si>
  <si>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</si>
  <si>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</si>
  <si>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</si>
  <si>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</si>
  <si>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</si>
  <si>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</si>
  <si>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</si>
  <si>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</si>
  <si>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</si>
  <si>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</si>
  <si>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</si>
  <si>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</si>
  <si>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</si>
  <si>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</t>
  </si>
  <si>
    <t>podlaží</t>
  </si>
  <si>
    <t>celkem</t>
  </si>
  <si>
    <t>VEDLEJŠÍ ROZPOČTOVÉ  NÁKLADY</t>
  </si>
  <si>
    <t>Název VRN</t>
  </si>
  <si>
    <t>%</t>
  </si>
  <si>
    <t>Základna</t>
  </si>
  <si>
    <t>Kč</t>
  </si>
  <si>
    <t>Vedlejší náklady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</si>
  <si>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</si>
  <si>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</si>
  <si>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</si>
  <si>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</si>
  <si>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</si>
  <si>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</si>
  <si>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</si>
  <si>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</si>
  <si>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</si>
  <si>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</si>
  <si>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4</t>
  </si>
  <si>
    <t>Vodorovné konstukce</t>
  </si>
  <si>
    <t>400 00-0001</t>
  </si>
  <si>
    <t>Částečná demontáž a opětovná montáž SDK podhledu v místě vytvoření prostupů v bočních stěnách pro vedení elektrorozvodů, přestěrkování, přebroušení.</t>
  </si>
  <si>
    <t>m2</t>
  </si>
  <si>
    <t>m.č.20:2*1*1</t>
  </si>
  <si>
    <t>m.č.22:2*1*1</t>
  </si>
  <si>
    <t>m.č.24:2*1*1</t>
  </si>
  <si>
    <t>m.č.25:2*1*1</t>
  </si>
  <si>
    <t>400 00-0002</t>
  </si>
  <si>
    <t>Renovace stávajícího SDK podhledu - lokální přestěrkování a celkové přebroušení</t>
  </si>
  <si>
    <t>m.č.20:3,7*6,5</t>
  </si>
  <si>
    <t>m.č.22:3,7*6,5</t>
  </si>
  <si>
    <t>m.č.24:3,7*6,5</t>
  </si>
  <si>
    <t>m.č.25:3,7*6,5</t>
  </si>
  <si>
    <t>400 00-0003</t>
  </si>
  <si>
    <t>Úprava SDK podhledu pro osazení VZT mřížek</t>
  </si>
  <si>
    <t>ks</t>
  </si>
  <si>
    <t>m.č.20:2</t>
  </si>
  <si>
    <t>m.č.22:2</t>
  </si>
  <si>
    <t>m.č.24:2</t>
  </si>
  <si>
    <t>m.č.25:2</t>
  </si>
  <si>
    <t>Celkem za</t>
  </si>
  <si>
    <t>61</t>
  </si>
  <si>
    <t>Upravy povrchů vnitřní</t>
  </si>
  <si>
    <t>612 40-9991.R00</t>
  </si>
  <si>
    <t>Začištění kolem oken,dveří, obkladů - silikonování</t>
  </si>
  <si>
    <t>m</t>
  </si>
  <si>
    <t>m.č.20:1,3+2,3*2+1+2,3*2+1,9+2,4*2+1*2</t>
  </si>
  <si>
    <t>m.č.22:1,3+2,3*2+1+2,3*2+1,9+2,4*2+1*2</t>
  </si>
  <si>
    <t>m.č.24:1,3+2,3*2+1+2,3*2+1,9+2,4*2+1*2</t>
  </si>
  <si>
    <t>m.č.25:1,3+2,3*2+1+2,3*2+1,9+2,4*2+1*2</t>
  </si>
  <si>
    <t>612 42-1637.R00</t>
  </si>
  <si>
    <t>Přeštukování (přestěrkování) stávajících stěn, sjednocení povrchu</t>
  </si>
  <si>
    <t>m.č.20:(3,7+6,5)*2*4</t>
  </si>
  <si>
    <t>m.č.22:(3,7+6,5)*2*4</t>
  </si>
  <si>
    <t>m.č.24:(3,7+6,5)*2*4</t>
  </si>
  <si>
    <t>m.č.25:(3,7+6,5)*2*4</t>
  </si>
  <si>
    <t>612 42-0001</t>
  </si>
  <si>
    <t>Omítka vnitřní zdiva, hrubá zatřená pod obklad</t>
  </si>
  <si>
    <t>m.č.20:1,9*1,3+2*2</t>
  </si>
  <si>
    <t>m.č.22:1,9*1,3+2*2</t>
  </si>
  <si>
    <t>m.č.24:1,9*1,3+2*2</t>
  </si>
  <si>
    <t>m.č.25:1,9*1,3+2*2</t>
  </si>
  <si>
    <t>613 42-0002</t>
  </si>
  <si>
    <t>Přeštukování (přestěrkování) stávajících stropů, sjednocení povrchu</t>
  </si>
  <si>
    <t>610 99-1111.R00</t>
  </si>
  <si>
    <t xml:space="preserve">Zakrývání výplní vnitřních otvorů </t>
  </si>
  <si>
    <t>m.č.20:1,25*2,25+1,9*2,35+1*2,25</t>
  </si>
  <si>
    <t>m.č.22:1,25*2,25+1,9*2,35+1*2,25</t>
  </si>
  <si>
    <t>m.č.24:1,25*2,25+1,9*2,35+1*2,25</t>
  </si>
  <si>
    <t>m.č.25:1,25*2,25+1,9*2,35+1*2,25</t>
  </si>
  <si>
    <t>64</t>
  </si>
  <si>
    <t>Výplně otvorů</t>
  </si>
  <si>
    <t>642 94-0001</t>
  </si>
  <si>
    <t>Repase stávajících dveří dvoukřídlých 1250*2250mm včetně zárubní, lišt a prahu, odstranění stávajícího nátěru, překytování, přebroušení, nový nátěr dveří a zárubní, repase kování a pantů, kování klika-klika, zámek FAB</t>
  </si>
  <si>
    <t>m.č.20:1</t>
  </si>
  <si>
    <t>m.č.22:1</t>
  </si>
  <si>
    <t>m.č.24:1</t>
  </si>
  <si>
    <t>m.č.25:1</t>
  </si>
  <si>
    <t>643 94-0002</t>
  </si>
  <si>
    <t>Oprava stávajících dveří a zárubní jednokřídlých 950*2250mm, dle potřeby lokálně odstranit stávající nátěr, lokálně překytovat a přebrousit, nový nátěr dveří a zárubní v původním odstínu</t>
  </si>
  <si>
    <t>643 94-0003</t>
  </si>
  <si>
    <t>Oprava stávajících dveří a zárubní dvoukřídlých 1250*2250mm, dle potřeby lokálně odstranit stávající nátěr, lokálně překytovat a přebrousit, nový nátěr dveří a zárubní v původním odstínu</t>
  </si>
  <si>
    <t>643 94-0004</t>
  </si>
  <si>
    <t xml:space="preserve">Vertikální textilní zastiňovací žaluzie v pojezdové kolejnici, ruční ovládání </t>
  </si>
  <si>
    <t>m.č.20:2,2*2,6</t>
  </si>
  <si>
    <t>m.č.22:2,2*2,6</t>
  </si>
  <si>
    <t>m.č.24:2,2*2,6</t>
  </si>
  <si>
    <t>m.č.25:2,2*2,6</t>
  </si>
  <si>
    <t>9</t>
  </si>
  <si>
    <t>Ostatní konstrukce a práce</t>
  </si>
  <si>
    <t>784 01-1221</t>
  </si>
  <si>
    <t>Zakrytí stávající podlahy</t>
  </si>
  <si>
    <t>952 000001</t>
  </si>
  <si>
    <t>Demontáž stávajícího vybavení místností, jeho přemístění v rámci objektu před provedením stavebních prací, případné zpětné přemístění a montáž po provedení stavebních prací - dle projektové dokumentace (včetně případné likvidace)</t>
  </si>
  <si>
    <t>kpl</t>
  </si>
  <si>
    <t>952 000002</t>
  </si>
  <si>
    <t>Kabeláž a přípojná místa pro audiovizuální techniku, včetně zasekání do zdi a zednického začištění</t>
  </si>
  <si>
    <t>952 90-1111.R00</t>
  </si>
  <si>
    <t xml:space="preserve">Vyčištění budov </t>
  </si>
  <si>
    <t>94</t>
  </si>
  <si>
    <t>Lešení a stavební výtahy</t>
  </si>
  <si>
    <t>941 95-5002.R00</t>
  </si>
  <si>
    <t xml:space="preserve">Lešení lehké pomocné, výška podlahy do 1,9 m </t>
  </si>
  <si>
    <t>96</t>
  </si>
  <si>
    <t>Bourání konstrukcí</t>
  </si>
  <si>
    <t>979 01-1121</t>
  </si>
  <si>
    <t>Otlučení omítek vnitřních stěn</t>
  </si>
  <si>
    <t>979 01-0000</t>
  </si>
  <si>
    <t>Odsekání keramických obkladů</t>
  </si>
  <si>
    <t>979 08-2111.R00</t>
  </si>
  <si>
    <t xml:space="preserve">Vnitrostaveništní doprava suti do 10 m </t>
  </si>
  <si>
    <t>t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</si>
  <si>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</si>
  <si>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</si>
  <si>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</si>
  <si>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</si>
  <si>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</si>
  <si>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</si>
  <si>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</si>
  <si>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</si>
  <si>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>99</t>
  </si>
  <si>
    <t>Staveništní přesun hmot</t>
  </si>
  <si>
    <t>998 01-1001.R00</t>
  </si>
  <si>
    <t xml:space="preserve">Přesun hmot pro opravy a údržbu </t>
  </si>
  <si>
    <t>720</t>
  </si>
  <si>
    <t>Zdravotechnická instalace</t>
  </si>
  <si>
    <t>720 00-0001</t>
  </si>
  <si>
    <t>Demontáž stávajícího umývadla, odvoz, likvidace</t>
  </si>
  <si>
    <t>720 00-0002</t>
  </si>
  <si>
    <t>Demontáž stávající baterie, odvoz likvidace</t>
  </si>
  <si>
    <t>720 00-0003</t>
  </si>
  <si>
    <t>Úprava stávajícího vedení vody a kanalizace pro napojení nového zařizovacího předmětu a baterie</t>
  </si>
  <si>
    <t>720 00-0004</t>
  </si>
  <si>
    <t xml:space="preserve">Zednické přípomoce pro úpravy ZTI </t>
  </si>
  <si>
    <t>hod</t>
  </si>
  <si>
    <t>730</t>
  </si>
  <si>
    <t>Ústřední vytápění</t>
  </si>
  <si>
    <t>730 00-0001</t>
  </si>
  <si>
    <t>Demontáž stávajícího otopného tělesa, odvoz. likvidace</t>
  </si>
  <si>
    <t>730 00-0002</t>
  </si>
  <si>
    <t>Úprava stávajícího připojovacího potrubí pro osazení nového otopného tělesa (zasekání potrubí do zdi)</t>
  </si>
  <si>
    <t>730 00-0003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</si>
  <si>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m.č.20</t>
  </si>
  <si>
    <t>730 00-0004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</si>
  <si>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m.č.22</t>
  </si>
  <si>
    <t>730 00-0005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</si>
  <si>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m.č.24</t>
  </si>
  <si>
    <t>730 00-0006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</si>
  <si>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m.č.25</t>
  </si>
  <si>
    <t>730 00-0007</t>
  </si>
  <si>
    <t>Nové připojovací Cu potrubí – Cu 15x1 včetně kolen a izolace</t>
  </si>
  <si>
    <t>730 00-0008</t>
  </si>
  <si>
    <t>Odzkoušení, zprovoznění</t>
  </si>
  <si>
    <t>730 00-0009</t>
  </si>
  <si>
    <t>Zednické přípomoce pro úpravy ÚT</t>
  </si>
  <si>
    <t>766</t>
  </si>
  <si>
    <t>Nábytek</t>
  </si>
  <si>
    <t>766 00-0001</t>
  </si>
  <si>
    <t>Vybavení nábytkem</t>
  </si>
  <si>
    <t>Konstrukce truhlářské</t>
  </si>
  <si>
    <t>Lokální oprava stávající vlysové podlahy - šetrná demontáž poškozených vlysů + dodávka a doplnění nových vlysů - 40%</t>
  </si>
  <si>
    <t>766 00-0002</t>
  </si>
  <si>
    <t>Olištování podlahy dřevěnou soklíkovou lištou včetně dodávky lišty</t>
  </si>
  <si>
    <t>m.č.20:(3,7+6,5)*2</t>
  </si>
  <si>
    <t>m.č.22:(3,7+6,5)*2</t>
  </si>
  <si>
    <t>m.č.24:(3,7+6,5)*2</t>
  </si>
  <si>
    <t>m.č.25:(3,7+6,5)*2</t>
  </si>
  <si>
    <t>776</t>
  </si>
  <si>
    <t>Podlahy povlakové</t>
  </si>
  <si>
    <t>776 00-0001</t>
  </si>
  <si>
    <t>Demontáž stávající podlahové krytiny z PVC</t>
  </si>
  <si>
    <t>781</t>
  </si>
  <si>
    <t>Obklady keramické (+ koordinace u kuch. linek)</t>
  </si>
  <si>
    <t>781 00-0001</t>
  </si>
  <si>
    <t>Upravení vedení vody, kanalizace a elektro u zadní desky kuchyňské linky, koordinace s dodavatelem nábytku</t>
  </si>
  <si>
    <t>m.č.20, 22, 24, 25: 4*1</t>
  </si>
  <si>
    <t>781 00-0002</t>
  </si>
  <si>
    <t>Obklad keramický dodávka+montáž, laserově řezané obkladačky s malými spárami</t>
  </si>
  <si>
    <t>m.č.20:1,9*1,3</t>
  </si>
  <si>
    <t>m.č.22:1,9*1,3</t>
  </si>
  <si>
    <t>m.č.24:1,9*1,3</t>
  </si>
  <si>
    <t>m.č.25:1,9*1,3</t>
  </si>
  <si>
    <t>783</t>
  </si>
  <si>
    <t>Nátěry</t>
  </si>
  <si>
    <t>783 00-0001</t>
  </si>
  <si>
    <t>Zátěžový protiskluzný lazurovací nátěr podlahy (3x nátěr, přebroušení) - viz technická zpráva</t>
  </si>
  <si>
    <t>783 00-0002</t>
  </si>
  <si>
    <t>Nátěr revizních dvířek o rozměru 400*400mm bílá barva</t>
  </si>
  <si>
    <t>kus</t>
  </si>
  <si>
    <t>784</t>
  </si>
  <si>
    <t>Malby</t>
  </si>
  <si>
    <t>784 45-0010.RAB</t>
  </si>
  <si>
    <t>Oškrabání maleb stěn a stropů a ostění</t>
  </si>
  <si>
    <t>m.č.220:3,7*6,5+(6,5+6,5+3,7+3,7)*4+(1,2*2,25*2+1,2*1,25+1,9*0,5+2,3*0,5*2)</t>
  </si>
  <si>
    <t>m.č.22:3,7*6,5+(6,5+6,5+3,7+3,7)*4+(1,2*2,25*2+1,2*1,25+1,9*0,5+2,3*0,5*2)</t>
  </si>
  <si>
    <t>m.č.24:3,7*6,5+(6,5+6,5+3,7+3,7)*4+(1,2*2,25*2+1,2*1,25+1,9*0,5+2,3*0,5*2)</t>
  </si>
  <si>
    <t>m.č.25:3,7*6,5+(6,5+6,5+3,7+3,7)*4+(1,2*2,25*2+1,2*1,25+1,9*0,5+2,3*0,5*2)</t>
  </si>
  <si>
    <t>784 45-0001</t>
  </si>
  <si>
    <t>Malba stěn a stropu bílá</t>
  </si>
  <si>
    <t>m.č.20:3,7*6,5+(6,5+6,5+3,7+3,7)*4+(1,2*2,25*2+1,2*1,25+1,9*0,5+2,3*0,5*2)</t>
  </si>
  <si>
    <t>M21</t>
  </si>
  <si>
    <t>Elektromontáže+akustika+audioviz. technika</t>
  </si>
  <si>
    <t>210 00-0001</t>
  </si>
  <si>
    <t>Elektroinstalace silnoproud</t>
  </si>
  <si>
    <t>210 00-0002</t>
  </si>
  <si>
    <t>Elektroinstalace slaboproud</t>
  </si>
  <si>
    <t>210 00-0005</t>
  </si>
  <si>
    <t>Dodávka, montáž, kompletace a zprovoznění audiovizuální techniky</t>
  </si>
  <si>
    <t>210 00-0006</t>
  </si>
  <si>
    <t>Prostupy pro elektroinstalaci 300*150mm - vybourání otvoru+zednické začištění+dozdívka</t>
  </si>
  <si>
    <t>210 00-0007</t>
  </si>
  <si>
    <t xml:space="preserve">Zednické přípomoce pro úpravy elektro </t>
  </si>
  <si>
    <t>M24</t>
  </si>
  <si>
    <t>Vzduchotechnika</t>
  </si>
  <si>
    <t>240 00-0001</t>
  </si>
  <si>
    <t xml:space="preserve">Demontáž stávajících VZT mřížek a osazení nových VZT mřížek 1000x250 mm, bílé </t>
  </si>
  <si>
    <t xml:space="preserve">SDK podhled včetně ocel roštu </t>
  </si>
  <si>
    <t>m.č.113:3*6,7</t>
  </si>
  <si>
    <t>m.č.115:3,7*6,7</t>
  </si>
  <si>
    <t>Repase stávající větrací mřížky na stěně 600*600mm včetně ovládacího táhla, odstranit stávající nátěr, přebroušení, nový bílý nátěr , m.č. 116</t>
  </si>
  <si>
    <t>m.č.113:1,3+2,3*2+1,9+3,1*2+1*2</t>
  </si>
  <si>
    <t>m.č.115:1,3+2,3*2+1,9+3,1*2+1*2</t>
  </si>
  <si>
    <t>m.č.116:1,3+2,3*2+(1,9+3,1*2)*3+(1*2)*3</t>
  </si>
  <si>
    <t>m.č.113:(6,7+6,7+3+3)*4,3+(1,9*0,5+3,1*0,5*2)</t>
  </si>
  <si>
    <t>m.č.115:(6,7+6,7+3,7+3,7)*4,3+(1,9*0,5+3,1*0,5*2)</t>
  </si>
  <si>
    <t>m.č.116:(6,7+6,7+11,4+11,4)*4,3+(1,9*0,5+3,1*0,5*2)*3</t>
  </si>
  <si>
    <t>m.č.113:1,9*1,3+2*2</t>
  </si>
  <si>
    <t>m.č.115:1,9*1,3+2*2</t>
  </si>
  <si>
    <t>m.č.116:1,9*1,3*3</t>
  </si>
  <si>
    <t>m.č.113:1,25*2,25+1,9*3,1</t>
  </si>
  <si>
    <t>m.č.115:1,25*2,25+1,9*3,1</t>
  </si>
  <si>
    <t>m.č.116:1,25*2,25+1,9*3,1*3</t>
  </si>
  <si>
    <t>Repase stávajících dveří dvoukřídlých 1250*2250mm včetně zárubní, lišt a prahu, odstranění stávajícího nátěru, překytování, přebroušení, nový nátěr, repase kování a pantů, kování klika-klika, zámek FAB</t>
  </si>
  <si>
    <t>m.č.113:1</t>
  </si>
  <si>
    <t>m.č.115:1</t>
  </si>
  <si>
    <t>m.č.116:1</t>
  </si>
  <si>
    <t>Příplatek za dodávku a osazení elektronického zámku a čtečky dveří</t>
  </si>
  <si>
    <t>m.č.113:2,2*3,4</t>
  </si>
  <si>
    <t>m.č.115:2,2*3,4</t>
  </si>
  <si>
    <t>m.č.116:2,2*3,4*3</t>
  </si>
  <si>
    <t>Zatemňovací rolety stahované svisle v pojezdech kolejnici na vnitřní straně okenního ostění, ruční ovládání</t>
  </si>
  <si>
    <t>m.č.116:2,4*3,6*3</t>
  </si>
  <si>
    <t>m.č.116:11,4*6,7</t>
  </si>
  <si>
    <t>Nové otopné těleso včetně ventilu, radiátor typu VKU - univerzální pravo-levé spodní připojení, dvoudeskový radiátor bez vnitřního konvektoru s integrovaným termostatickým ventilem výkon min. 1367 W, D+M, osazení, připojení, m.č.113</t>
  </si>
  <si>
    <t>Nové otopné těleso včetně ventilu, radiátor typu VKU - univerzální pravo-levé spodní připojení, dvoudeskový radiátor bez vnitřního konvektoru s integrovaným termostatickým ventilem výkon min. 1544 W, D+M, osazení, připojení, m.č.115</t>
  </si>
  <si>
    <t>Nové otopné těleso včetně ventilu, radiátor typu VKU - univerzální pravo-levé spodní připojení, dvoudeskový radiátor bez vnitřního konvektoru s integrovaným termostatickým ventilem celkový výkon obou těles min. 4751 W, D+M, osazení, připojení, m.č.116</t>
  </si>
  <si>
    <t>Lokální oprava stávající vlysové podlahy - šetrná demontáž poškozených vlysů + dodávka a doplnění nových vlysů 40%</t>
  </si>
  <si>
    <t>m.č.113:(3+6,7)*2</t>
  </si>
  <si>
    <t>m.č.115:(3,7+6,7)*2</t>
  </si>
  <si>
    <t>m.č.116:(11,4+6,7)*2</t>
  </si>
  <si>
    <t>Demontáž stávající podlahové krytiny z PVC a koberců</t>
  </si>
  <si>
    <t>m.č.113: 1</t>
  </si>
  <si>
    <t>m.č.115: 1</t>
  </si>
  <si>
    <t>m.č.113:1,9*1,3</t>
  </si>
  <si>
    <t>m.č.115:1,9*1,3</t>
  </si>
  <si>
    <t>m.č.113:2</t>
  </si>
  <si>
    <t>m.č.115:2</t>
  </si>
  <si>
    <t>m.č.116:2</t>
  </si>
  <si>
    <t>784 00-0001</t>
  </si>
  <si>
    <t>Dvířka stávající nový nátěr 600*600mm bílá barva</t>
  </si>
  <si>
    <t>Oškrabání maleb stěn a ostění</t>
  </si>
  <si>
    <t>m.č.116:11,4*6,7+(6,7+6,7+11,4+11,4)*4,3+(1,9*0,5+3,1*0,5*2)*3</t>
  </si>
  <si>
    <t>Malba stěn a stropu bílá včetně penetrace</t>
  </si>
  <si>
    <t>m.č.113:3*6,7+(6,7+6,7+3+3)*4,3+(1,9*0,5+3,1*0,5*2)</t>
  </si>
  <si>
    <t>m.č.115:3,7*6,7+(6,7+6,7+3,7+3,7)*4,3+(1,9*0,5+3,1*0,5*2)</t>
  </si>
  <si>
    <t>210 00-0003</t>
  </si>
  <si>
    <t xml:space="preserve">D+M - Akustický podhled - Absorbční </t>
  </si>
  <si>
    <t>210 00-0004</t>
  </si>
  <si>
    <t>D+M - Akustický podhled - Nízkofrekvenční</t>
  </si>
  <si>
    <t xml:space="preserve">D+M - nízkofrekvenční rezonator </t>
  </si>
  <si>
    <t xml:space="preserve">D+M - stěnový akustický obklad </t>
  </si>
  <si>
    <t>Akustická měření, projekční činnost a související náklady - ochrana a zakrytí konstrukcí, lešení, doprava a přesun hmot, dílenská dokumentace, měření doby dozvuku - etapové, měření doby dozvuku - závěrečné</t>
  </si>
  <si>
    <t>210 00-0008</t>
  </si>
  <si>
    <t>210 00-0009</t>
  </si>
  <si>
    <t>210 00-0010</t>
  </si>
  <si>
    <t>Částečná demontáž a opětovná montáž SDK podhledu v místě vytvoření prostupů v bočních stěnách pro vedení elektrorozvodů, přesěrkování, přebroušení.</t>
  </si>
  <si>
    <t>m.č.217:2*1*1</t>
  </si>
  <si>
    <t>m.č.218:2*1*1</t>
  </si>
  <si>
    <t>m.č.219A:2*1*1</t>
  </si>
  <si>
    <t>m.č.219B:2*1*1</t>
  </si>
  <si>
    <t>m.č.219C:2*1*1</t>
  </si>
  <si>
    <t>m.č.218:3,2*6,8</t>
  </si>
  <si>
    <t>m.č.219A:3,7*6,8</t>
  </si>
  <si>
    <t>m.č.219B:3,7*6,8</t>
  </si>
  <si>
    <t>m.č.219C:3,6*6,8</t>
  </si>
  <si>
    <t>m.č.217:1,7+2,9*2+3,1+2,9*2+1,25+2,3*2</t>
  </si>
  <si>
    <t>m.č.218:1,3*3+2,3*2*3+1,9+2,9*2</t>
  </si>
  <si>
    <t>m.č.219A:1,9+2,9*2+1,3+2,3*2</t>
  </si>
  <si>
    <t>m.č.219B:1,9+2,9*2+1,3+2,3*2</t>
  </si>
  <si>
    <t>m.č.219C:1,9+2,9*2+1,3*2+2,3*2*2+0,8+2*2</t>
  </si>
  <si>
    <t>m.č.217:(6,7+10,4)*2*3,6</t>
  </si>
  <si>
    <t>m.č.218:(3,2+6,8)*2*4,1</t>
  </si>
  <si>
    <t>m.č.219A:(3,7+6,8)*2*4,1</t>
  </si>
  <si>
    <t>m.č.219B:(3,7+6,8)*2*4,1</t>
  </si>
  <si>
    <t>m.č.219C:(3,6+6,8)*2*4,1</t>
  </si>
  <si>
    <t>m.č.217:1,7*1,2+3,1*1,2</t>
  </si>
  <si>
    <t>m.č.218:1,9*1,3</t>
  </si>
  <si>
    <t>m.č.219A:2*2+1,9*1,3</t>
  </si>
  <si>
    <t>m.č.219B:2*2+1,9*1,3</t>
  </si>
  <si>
    <t>m.č.219C:1,9*1,3</t>
  </si>
  <si>
    <t>m.č.217:1,7*2,9+3,1*2,9+1,3*2,3</t>
  </si>
  <si>
    <t>m.č.218:1,3*2,3*3+1,9*2,9</t>
  </si>
  <si>
    <t>m.č.219A:1,9*2,9+1,3*2,3</t>
  </si>
  <si>
    <t>m.č.219B:1,9*2,9+1,3*2,3</t>
  </si>
  <si>
    <t>m.č.219C:1,9*2,9+1,3*2,3*2+0,8*2</t>
  </si>
  <si>
    <t>m.č.217:1</t>
  </si>
  <si>
    <t>m.č.218:1</t>
  </si>
  <si>
    <t>m.č.219A:1</t>
  </si>
  <si>
    <t>m.č.219B:1</t>
  </si>
  <si>
    <t>m.č.219C:1</t>
  </si>
  <si>
    <t>Lokální oprava desky zakrývající dveře</t>
  </si>
  <si>
    <t>Oprava stávajících dveří a zárubní jednokřídlých 800*1970mm, dle potřeby lokálně odstranit stávající nátěr, lokálně překytovat a přebrousit, nový nátěr dveří a zárubní v původním odstínu</t>
  </si>
  <si>
    <t>643 94-0005</t>
  </si>
  <si>
    <t>m.č.218:2</t>
  </si>
  <si>
    <t>643 94-0006</t>
  </si>
  <si>
    <t>m.č.217:3,4*3,2+2*3,2</t>
  </si>
  <si>
    <t>m.č.218:2,2*3,2</t>
  </si>
  <si>
    <t>m.č.219A:2,2*3,2</t>
  </si>
  <si>
    <t>m.č.219B:2,2*3,2</t>
  </si>
  <si>
    <t>m.č.219C:2,2*3,2</t>
  </si>
  <si>
    <t>643 94-0007</t>
  </si>
  <si>
    <t>m.č.217:3,6*3,4+2,2*3,4</t>
  </si>
  <si>
    <t>m.č.217:6,7*10,4</t>
  </si>
  <si>
    <t>Úprava stávajícího vedení vody a kanalizace pro napojení nového zařizovacího předmětu a baterie u zadní desky kuchyňské linky</t>
  </si>
  <si>
    <t>Osazení a napojení nového zařizovacího předmětu (umývadla) a umyvadlové baterie -  m.č.217</t>
  </si>
  <si>
    <t>720 00-0005</t>
  </si>
  <si>
    <t>Nové otopné těleso včetně ventilu, radiátor typu VKU - univerzální pravo-levé spodní připojení, dvoudeskový radiátor bez vnitřního konvektoru s integrovaným termostatickým ventilem výkon min. 1578 W, D+M, osazení, připojení, m.č.219A</t>
  </si>
  <si>
    <t>Nové otopné těleso včetně ventilu, radiátor typu VKU - univerzální pravo-levé spodní připojení, dvoudeskový radiátor bez vnitřního konvektoru s integrovaným termostatickým ventilem výkon min. 1576 W, D+M, osazení, připojení, m.č.219B</t>
  </si>
  <si>
    <t>Nové otopné těleso včetně ventilu, radiátor typu VKU - univerzální pravo-levé spodní připojení, dvoudeskový radiátor bez vnitřního konvektoru s integrovaným termostatickým ventilem výkon min. 1549 W, D+M, osazení, připojení, m.č.219C</t>
  </si>
  <si>
    <t>Nové otopné těleso včetně ventilu, radiátor typu VKU - univerzální pravo-levé spodní připojení, dvoudeskový radiátor bez vnitřního konvektoru s integrovaným termostatickým ventilem výkon min. 1379 W, D+M, osazení, připojení, m.č.218</t>
  </si>
  <si>
    <t>Nové otopné těleso včetně ventilu, radiátor typu VKU - univerzální pravo-levé spodní připojení, dvoudeskový radiátor bez vnitřního konvektoru s integrovaným termostatickým ventilem celkový výkon obou těles min. 5027 W, D+M, osazení, připojení, m.č.217</t>
  </si>
  <si>
    <t>730 00-0010</t>
  </si>
  <si>
    <t>m.č.217:(6,7+10,4)*2</t>
  </si>
  <si>
    <t>m.č.218:(3,2+6,8)*2</t>
  </si>
  <si>
    <t>m.č.219A:(3,7+6,8)*2</t>
  </si>
  <si>
    <t>m.č.219B:(3,7+6,8)*2</t>
  </si>
  <si>
    <t>m.č.219C:(3,6+6,8)*2</t>
  </si>
  <si>
    <t>Obklady keramické</t>
  </si>
  <si>
    <t>Obklad keramický dodávka+montáž</t>
  </si>
  <si>
    <t>m.č.217:1,5*2</t>
  </si>
  <si>
    <t>m.č.219A:1,9*1,3</t>
  </si>
  <si>
    <t>m.č.219B:1,9*1,3</t>
  </si>
  <si>
    <t>m.č.217:(6,7+10,4)*2*3,6+(1,7+2,9*2+3,1+2,9*2)*0,5</t>
  </si>
  <si>
    <t>m.č.218:3,2*6,8+(3,2+6,8)*2*4,1+(1,9+2,9*2+1,3+2,3*2)*0,5</t>
  </si>
  <si>
    <t>m.č.219A:3,7*6,8+(3,7+6,8)*2*4,1+(1,9+2,9*2)*0,5</t>
  </si>
  <si>
    <t>m.č.219B:3,7*6,8+(3,7+6,8)*2*4,1+(1,9+2,9*2+1,3+2,3*2)*0,5</t>
  </si>
  <si>
    <t>m.č.219C:3,6*6,8+(3,6+6,8)*2*4,1+(1,9+2,9*2+1,3+2,3*2)*0,5</t>
  </si>
  <si>
    <t>m.č.219A:2</t>
  </si>
  <si>
    <t>m.č.219B:2</t>
  </si>
  <si>
    <t>m.č.219C:2</t>
  </si>
  <si>
    <t>m.č.304:2*1*1</t>
  </si>
  <si>
    <t>m.č.317:2*1*1</t>
  </si>
  <si>
    <t>m.č.319:2*1*1</t>
  </si>
  <si>
    <t>m.č.320:2*1*1</t>
  </si>
  <si>
    <t>m.č.321:2*1*1</t>
  </si>
  <si>
    <t>m.č.325:2*1*1</t>
  </si>
  <si>
    <t>m.č.326:2*1*1</t>
  </si>
  <si>
    <t>m.č.320:6,8*3,7</t>
  </si>
  <si>
    <t>m.č.321:6,8*3,7</t>
  </si>
  <si>
    <t>m.č.325:6,8*8,5</t>
  </si>
  <si>
    <t>m.č.326:5,6*8,5</t>
  </si>
  <si>
    <t>m.č.304:6,8*3,7</t>
  </si>
  <si>
    <t>400 00-0004</t>
  </si>
  <si>
    <t>Repase stávající větrací mřížky na stěně 600*600mm všetně ovládacího táhla, odstranit stávající nátěr, přebroušení, nový bílý nátěr , m.č. 317</t>
  </si>
  <si>
    <t>m.č.304:1,9+2,4*2+1,3+2,3*2</t>
  </si>
  <si>
    <t>m.č.317:1,3+2,3*2+1,7+2,4*2+3,1+2,4*2</t>
  </si>
  <si>
    <t>m.č.319:1,9*2+2,4*2*2+1,3+2,3*2</t>
  </si>
  <si>
    <t>m.č.320:1,9+2,4*2+1,3+2,3*2</t>
  </si>
  <si>
    <t>m.č.321:1,9+2,4*2+1,3+2,3*2</t>
  </si>
  <si>
    <t>m.č.325:1,6+2,4*2+2,3+2,4*2+1,3*3+2,3*2*3</t>
  </si>
  <si>
    <t>m.č.326:2,3+2,4*2+1,3*2+2,3*2*2</t>
  </si>
  <si>
    <t>m.č.304:(6,8+3,7)*2*3,7</t>
  </si>
  <si>
    <t>m.č.317:(6,7+10,4)*2*3,5</t>
  </si>
  <si>
    <t>m.č.319:(6,8+7,6)*2*3,5</t>
  </si>
  <si>
    <t>m.č.320:(6,8+3,7)*2*4</t>
  </si>
  <si>
    <t>m.č.321:(6,8+3,7)*2*4</t>
  </si>
  <si>
    <t>m.č.325:(6,8+8,5)*2*3,9</t>
  </si>
  <si>
    <t>m.č.326:(5,6+8,5)*2*3,9</t>
  </si>
  <si>
    <t>m.č.304:1,9*1,3</t>
  </si>
  <si>
    <t>m.č.317:1,7*1,3+3,1*1,3+2*2</t>
  </si>
  <si>
    <t>m.č.319:1,9*1,3*2+2*2</t>
  </si>
  <si>
    <t>m.č.320:1,9*1,3</t>
  </si>
  <si>
    <t>m.č.321:1,9*1,3</t>
  </si>
  <si>
    <t>m.č.325:1,6*1,3+2,3*1,3+2*2</t>
  </si>
  <si>
    <t>m.č.326:2,3*1,3+2*2</t>
  </si>
  <si>
    <t>m.č.304:1,9*2,4+1,3*2,3</t>
  </si>
  <si>
    <t>m.č.317:1,3*2,3+1,7*2,4+3,1*2,4</t>
  </si>
  <si>
    <t>m.č.319:1,3*2,3+1,9*2,4*2</t>
  </si>
  <si>
    <t>m.č.320:1,9*2,4+1,3*2,3</t>
  </si>
  <si>
    <t>m.č.321:1,9*2,4+1,3*2,3</t>
  </si>
  <si>
    <t>m.č.325:1,6*2,4+2,3*2,4+1,3*2,3*3</t>
  </si>
  <si>
    <t>m.č.326:2,3*2,4+1,3*2,3*2</t>
  </si>
  <si>
    <t>m.č.304:1</t>
  </si>
  <si>
    <t>m.č.317:1</t>
  </si>
  <si>
    <t>m.č.319:1</t>
  </si>
  <si>
    <t>m.č.320:1</t>
  </si>
  <si>
    <t>m.č.321:1</t>
  </si>
  <si>
    <t>m.č.325:2</t>
  </si>
  <si>
    <t>m.č.326:1</t>
  </si>
  <si>
    <t>m.č.325:1</t>
  </si>
  <si>
    <t>m.č.304:2,2*2,7</t>
  </si>
  <si>
    <t>m.č.317:2*2,7+3,4*2,7</t>
  </si>
  <si>
    <t>m.č.319:2,2*2,7*2</t>
  </si>
  <si>
    <t>m.č.320:2,2*2,7</t>
  </si>
  <si>
    <t>m.č.321:2,2*2,7</t>
  </si>
  <si>
    <t>m.č.325:1,9*2,7+2,6*2,7</t>
  </si>
  <si>
    <t>m.č.326:2,6*2,7</t>
  </si>
  <si>
    <t>m.č.317:2,2*2,9+3,6*2,9</t>
  </si>
  <si>
    <t>m.č.319:2,4*2,9*2</t>
  </si>
  <si>
    <t>m.č.325:2,1*2,9+2,8*2,9</t>
  </si>
  <si>
    <t>m.č.326:2,8*2,9</t>
  </si>
  <si>
    <t>m.č.317:6,7*10,4</t>
  </si>
  <si>
    <t>m.č.319:6,8*7,6</t>
  </si>
  <si>
    <t>Osazení a napojení nového zařizovacího předmětu (umývadla) a umyvadlové baterie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</si>
  <si>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m.č.304</t>
  </si>
  <si>
    <t>Nové otopné těleso včetně ventilu, radiátor typu VKU - univerzální pravo-levé spodní připojení, dvoudeskový radiátor bez vnitřního konvektoru s integrovaným termostatickým ventilem výkon min. 2671 W, D+M, osazení, připojení, m.č.326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</si>
  <si>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m.č.321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</si>
  <si>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m.č.320</t>
  </si>
  <si>
    <t>Nové otopné těleso včetně ventilu, radiátor typu VKU - univerzální pravo-levé spodní připojení, dvoudeskový radiátor bez vnitřního konvektoru s integrovaným termostatickým ventilem celkový výkon obou těles min. 4167 W, D+M, osazení, připojení, m.č.325</t>
  </si>
  <si>
    <t>Nové otopné těleso včetně ventilu, radiátor typu VKU - univerzální pravo-levé spodní připojení, dvoudeskový radiátor bez vnitřního konvektoru s integrovaným termostatickým ventilem celkový výkon obou těles min. 3232 W, D+M, osazení, připojení, m.č.319</t>
  </si>
  <si>
    <t>Nové otopné těleso včetně ventilu, radiátor typu VKU - univerzální pravo-levé spodní připojení, dvoudeskový radiátor bez vnitřního konvektoru s integrovaným termostatickým ventilem celkový výkon obou těles min. 5012 W, D+M, osazení, připojení, m.č.317</t>
  </si>
  <si>
    <t>730 00-0011</t>
  </si>
  <si>
    <t>730 00-0012</t>
  </si>
  <si>
    <t>Odstranění stávajícího dřevěného stupínku 5x2 m (místnost č. 317)</t>
  </si>
  <si>
    <t>766 00-0003</t>
  </si>
  <si>
    <t>m.č.304:(6,8+3,7)*2</t>
  </si>
  <si>
    <t>m.č.317:(6,7+10,4)*2</t>
  </si>
  <si>
    <t>m.č.319:(6,8+7,6)*2</t>
  </si>
  <si>
    <t>m.č.320:(6,8+3,7)*2</t>
  </si>
  <si>
    <t>m.č.321:(6,8+3,7)*2</t>
  </si>
  <si>
    <t>m.č.325:(6,8+8,5)*2</t>
  </si>
  <si>
    <t>m.č.326:(5,6+8,5)*2</t>
  </si>
  <si>
    <t>m.č.317:2*2</t>
  </si>
  <si>
    <t>m.č.319:2*2</t>
  </si>
  <si>
    <t>m.č.325:2*2</t>
  </si>
  <si>
    <t>m.č.326:2*2</t>
  </si>
  <si>
    <t>m.č.317:1,7*1,3+3,1*1,3</t>
  </si>
  <si>
    <t>m.č.319:1,9*1,3*2</t>
  </si>
  <si>
    <t>m.č.325:1,6*1,3+2,3*1,3</t>
  </si>
  <si>
    <t>m.č.326:2,3*1,3</t>
  </si>
  <si>
    <t>m.č.304:(6,8+3,7)*2*3,7+(1,9+2,4*2)*0,5</t>
  </si>
  <si>
    <t>m.č.317:(6,7+10,4)*2*3,5+(1,7+2,4*2+3,1+2,4*2)*0,5</t>
  </si>
  <si>
    <t>m.č.319:(6,8+7,6)*2*3,5+(1,9+2,4*2)*2*0,5</t>
  </si>
  <si>
    <t>m.č.320:6,8*3,7+(6,8+3,7)*2*4+(1,9+2,4*2)*0,5</t>
  </si>
  <si>
    <t>m.č.321:6,8*3,7+(6,8+3,7)*2*4+(1,9+2,4*2)*0,5</t>
  </si>
  <si>
    <t>m.č.325:6,8*8,5+(6,8+8,5)*2*3,9+(1,6+2,4*2+2,3+2,4*2+1,3+2,3*2)*0,5</t>
  </si>
  <si>
    <t>m.č.326:5,6*8,5+(5,6+8,5)*2*3,9+(2,3+2,4*2)*0,5</t>
  </si>
  <si>
    <t>m.č.304:6,8*3,7+(6,8+3,7)*2*3,7+(1,9+2,4*2)*0,5</t>
  </si>
  <si>
    <t>Elektroinstalace silnoproud blok 1</t>
  </si>
  <si>
    <t>Elektroinstalace silnoproud blok 2</t>
  </si>
  <si>
    <t>Elektroinstalace silnoproud blok 3</t>
  </si>
  <si>
    <t>Elektroinstalace slaboproud blok 1</t>
  </si>
  <si>
    <t>Elektroinstalace slaboproud blok 2</t>
  </si>
  <si>
    <t>Elektroinstalace slaboproud blok 3</t>
  </si>
  <si>
    <t>210 00-0011</t>
  </si>
  <si>
    <t>210 00-0012</t>
  </si>
  <si>
    <t>210 00-0013</t>
  </si>
  <si>
    <t>210 00-0014</t>
  </si>
  <si>
    <t>Demontáž stávajících VZT mřížek a osazení nových VZT mřížek 1000x250 mm včetně dodávky, barva bílá</t>
  </si>
  <si>
    <t>m.č.320:2</t>
  </si>
  <si>
    <t>m.č.321:2</t>
  </si>
  <si>
    <t>240 00-0002</t>
  </si>
  <si>
    <t>Demontáž stávajících VZT mřížek a osazení nových VZT mřížek 500x250 mm včetně dodávky, barva bílá</t>
  </si>
  <si>
    <t>m.č.325:6</t>
  </si>
  <si>
    <t>m.č.326:2</t>
  </si>
  <si>
    <t>m.č.403:2*1*1</t>
  </si>
  <si>
    <t>m.č.404A:2*1*1</t>
  </si>
  <si>
    <t>m.č.404B:2*1*1</t>
  </si>
  <si>
    <t>m.č.404C:2*1*1</t>
  </si>
  <si>
    <t>m.č.405:2*1*1</t>
  </si>
  <si>
    <t>m.č.406:2*1*1</t>
  </si>
  <si>
    <t>m.č.407:2*1*1</t>
  </si>
  <si>
    <t>m.č.408:2*1*1</t>
  </si>
  <si>
    <t>m.č.409:2*1*1</t>
  </si>
  <si>
    <t>m.č.403:1,6+2*2+1,3+2,3*2</t>
  </si>
  <si>
    <t>m.č.404A:1,6+2*2+0,8+2*2</t>
  </si>
  <si>
    <t>m.č.404B:1,6+2*2+0,8+2*2+1,3*2+2,3*2*2</t>
  </si>
  <si>
    <t>m.č.404C:1,6+2*2+1,3+2,3*2</t>
  </si>
  <si>
    <t>m.č.405:1,6*2+2*2*2+1,3*2+2,3*2*2</t>
  </si>
  <si>
    <t>m.č.406:1,6+2*2+1,3*2+2,3*2*2</t>
  </si>
  <si>
    <t>m.č.407:1,6+2*2+1,3+2,3*2</t>
  </si>
  <si>
    <t>m.č.408:1,6+2*2+1,3*2+2,3*2*2</t>
  </si>
  <si>
    <t>m.č.409:1,6*2+2*2*2+1,3*2+2,3*2*2</t>
  </si>
  <si>
    <t>m.č.403:(6,9+3,2)*2*3,3</t>
  </si>
  <si>
    <t>m.č.404A:(6,9+4,6)*2*3,3</t>
  </si>
  <si>
    <t>m.č.404B:(6,9+2,8)*2*3,3</t>
  </si>
  <si>
    <t>m.č.404C:(6,9+2,7)*2*3,3</t>
  </si>
  <si>
    <t>m.č.405:(6,9+8,5)*2*3,4</t>
  </si>
  <si>
    <t>m.č.406:(6,9+3,7)*2*3,4</t>
  </si>
  <si>
    <t>m.č.407:(6,9+3,7)*2*3,4</t>
  </si>
  <si>
    <t>m.č.408:(6,9+3,9)*2*3,4</t>
  </si>
  <si>
    <t>m.č.409:(6,9+5,3)*2*3,4</t>
  </si>
  <si>
    <t>m.č.403:1,6*1,3</t>
  </si>
  <si>
    <t>m.č.404A:1,6*1,3</t>
  </si>
  <si>
    <t>m.č.404B:1,6*1,3+2*2</t>
  </si>
  <si>
    <t>m.č.404C:1,6*1,3</t>
  </si>
  <si>
    <t>m.č.405:1,6*1,3*2+2*2</t>
  </si>
  <si>
    <t>m.č.406:1,6*1,3</t>
  </si>
  <si>
    <t>m.č.407:1,6*1,3</t>
  </si>
  <si>
    <t>m.č.408:1,6*1,3</t>
  </si>
  <si>
    <t>m.č.409:1,6*1,3*2+2*2</t>
  </si>
  <si>
    <t>m.č.403:1,6*2+1,3*2,3</t>
  </si>
  <si>
    <t>m.č.404A:1,6*2+0,8*2</t>
  </si>
  <si>
    <t>m.č.404B:1,6*2+0,8*2+1,3*2,3*2</t>
  </si>
  <si>
    <t>m.č.404C:1,6*2+1,3*2,3</t>
  </si>
  <si>
    <t>m.č.405:1,6*2*2+1,3*2,3*2</t>
  </si>
  <si>
    <t>m.č.406:1,6*2+1,3*2,3*2</t>
  </si>
  <si>
    <t>m.č.407:1,6*2+1,3*2,3</t>
  </si>
  <si>
    <t>m.č.408:1,6*2+1,3*2,3*2</t>
  </si>
  <si>
    <t>m.č.409:1,6*2*2+1,3*2,3*2</t>
  </si>
  <si>
    <t>Příčka SDK akustická dvojitý záklop 2*12,5mm, modrá akustická deska včetně MV 2*40mm</t>
  </si>
  <si>
    <t>m.č.404C:6,9*3,5</t>
  </si>
  <si>
    <t>Obklad SDK akustický dvojitý záklop 2*12,5mm, modrá akustická deska včetně MV 2*40mm</t>
  </si>
  <si>
    <t>m.č.405:1,3*2,3</t>
  </si>
  <si>
    <t>m.č.406:1,3*2,3</t>
  </si>
  <si>
    <t>m.č.408:1,3*2,3</t>
  </si>
  <si>
    <t>m.č.403:1</t>
  </si>
  <si>
    <t>m.č.404B:1</t>
  </si>
  <si>
    <t>m.č.405:1</t>
  </si>
  <si>
    <t>m.č.406:1</t>
  </si>
  <si>
    <t>m.č.407:1</t>
  </si>
  <si>
    <t>m.č.408:1</t>
  </si>
  <si>
    <t>m.č.409:1</t>
  </si>
  <si>
    <t>m.č.404C:1</t>
  </si>
  <si>
    <t>m.č.404A:1</t>
  </si>
  <si>
    <t>m.č.403:1,9*2,3</t>
  </si>
  <si>
    <t>m.č.404A:1,9*2,3</t>
  </si>
  <si>
    <t>m.č.404B:1,9*2,3</t>
  </si>
  <si>
    <t>m.č.404C:1,9*2,3</t>
  </si>
  <si>
    <t>m.č.405:1,9*2,3*2</t>
  </si>
  <si>
    <t>m.č.406:1,9*2,3</t>
  </si>
  <si>
    <t>m.č.407:1,9*2,3</t>
  </si>
  <si>
    <t>m.č.408:1,9*2,3</t>
  </si>
  <si>
    <t>m.č.409:1,9*2,3*2</t>
  </si>
  <si>
    <t>m.č.404A:2,1*2,5</t>
  </si>
  <si>
    <t>m.č.405:2,1*2,5*2</t>
  </si>
  <si>
    <t>m.č.408:2,1*2,5</t>
  </si>
  <si>
    <t>m.č.409:2,1*2,5*2</t>
  </si>
  <si>
    <t>m.č.403:6,9*3,2</t>
  </si>
  <si>
    <t>m.č.404A:6,9*4,6</t>
  </si>
  <si>
    <t>m.č.404B:6,9*2,8</t>
  </si>
  <si>
    <t>m.č.404C:6,9*2,7</t>
  </si>
  <si>
    <t>m.č.405:6,9*8,5</t>
  </si>
  <si>
    <t>m.č.406:6,9*3,7</t>
  </si>
  <si>
    <t>m.č.407:6,9*3,7</t>
  </si>
  <si>
    <t>m.č.408:6,9*3,9</t>
  </si>
  <si>
    <t>m.č.409:6,9*5,3</t>
  </si>
  <si>
    <t xml:space="preserve">Demontáž akustických stěnových panelů </t>
  </si>
  <si>
    <t>m.č.403:7*3,3*2</t>
  </si>
  <si>
    <t>m.č.404A:7*3,3*2</t>
  </si>
  <si>
    <t>m.č.404B:7*3,3*2</t>
  </si>
  <si>
    <t>m.č.404C:7*3,3*2</t>
  </si>
  <si>
    <t>m.č.405:7*3,4*2</t>
  </si>
  <si>
    <t>Vybourání příčky</t>
  </si>
  <si>
    <t>m.č.403:7*3,3</t>
  </si>
  <si>
    <t>Osazení a napojení nového zařizovacího předmětu (umyvadla) a umyvadlové baterie</t>
  </si>
  <si>
    <t>Nové otopné těleso včetně ventilu, radiátor typu VKU - univerzální pravo-levé spodní připojení, dvoudeskový radiátor bez vnitřního konvektoru s integrovaným termostatickým ventilem výkon min. 1309 W, D+M, osazení, připojení, m.č.403</t>
  </si>
  <si>
    <t>Nové otopné těleso včetně ventilu, radiátor typu VKU - univerzální pravo-levé spodní připojení, dvoudeskový radiátor bez vnitřního konvektoru s integrovaným termostatickým ventilem výkon min. 1740 W, D+M, osazení, připojení, m.č.404A</t>
  </si>
  <si>
    <t>Nové otopné těleso včetně ventilu, radiátor typu VKU - univerzální pravo-levé spodní připojení, dvoudeskový radiátor bez vnitřního konvektoru s integrovaným termostatickým ventilem výkon min. 1154 W, D+M, osazení, připojení, m.č.404B</t>
  </si>
  <si>
    <t>Nové otopné těleso včetně ventilu, radiátor typu VKU - univerzální pravo-levé spodní připojení, dvoudeskový radiátor bez vnitřního konvektoru s integrovaným termostatickým ventilem výkon min. 1112 W, D+M, osazení, připojení, m.č.404C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</si>
  <si>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m.č.406</t>
  </si>
  <si>
    <t>Nové otopné těleso včetně ventilu, radiátor typu VKU - univerzální pravo-levé spodní připojení, dvoudeskový radiátor bez vnitřního konvektoru s integrovaným termostatickým ventilem výkon min. 1515 W, D+M, osazení, připojení, m.č.408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</si>
  <si>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m.č.407</t>
  </si>
  <si>
    <t>Nové otopné těleso včetně ventilu, radiátor typu VKU - univerzální pravo-levé spodní připojení, dvoudeskový radiátor bez vnitřního konvektoru s integrovaným termostatickým ventilem celkový výkon obou těles min. 3267 W, D+M, osazení, připojení, m.č.405</t>
  </si>
  <si>
    <t>Nové otopné těleso včetně ventilu, radiátor typu VKU - univerzální pravo-levé spodní připojení, dvoudeskový radiátor bez vnitřního konvektoru s integrovaným termostatickým ventilem celkový výkon obou těles min. 2913 W, D+M, osazení, připojení, m.č.409</t>
  </si>
  <si>
    <t>730 00-0013</t>
  </si>
  <si>
    <t>730 00-0014</t>
  </si>
  <si>
    <t>m.č.403:(6,9+3,2)*2</t>
  </si>
  <si>
    <t>m.č.404A:(6,9+4,6)*2</t>
  </si>
  <si>
    <t>m.č.404B:(6,9+2,8)*2</t>
  </si>
  <si>
    <t>m.č.404C:(6,9+2,7)*2</t>
  </si>
  <si>
    <t>m.č.405:(6,9+8,5)*2</t>
  </si>
  <si>
    <t>m.č.406:(6,9+3,7)*2</t>
  </si>
  <si>
    <t>m.č.407:(6,9+3,7)*2</t>
  </si>
  <si>
    <t>m.č.408:(6,9+3,9)*2</t>
  </si>
  <si>
    <t>m.č.409:(6,9+5,3)*2</t>
  </si>
  <si>
    <t>m.č.405:2*2</t>
  </si>
  <si>
    <t>m.č.409:2*2</t>
  </si>
  <si>
    <t>m.č.404B:1,6*1,3</t>
  </si>
  <si>
    <t>m.č.405:1,6*1,3*2</t>
  </si>
  <si>
    <t>m.č.409:1,6*1,3*2</t>
  </si>
  <si>
    <t>m.č.403:6,9*3,2+(6,9+3,2)*2*3,3+(1,6+2*2)*0,5</t>
  </si>
  <si>
    <t>m.č.404A:6,9*4,6+(6,9+4,6)*2*3,3+(1,6+2*2)*0,5</t>
  </si>
  <si>
    <t>m.č.404B:6,9*2,8+(6,9+2,8)*2*3,3+(1,6+2*2)*0,5</t>
  </si>
  <si>
    <t>m.č.404C:6,9*2,7+(6,9+2,7)*2*3,3+(1,6+2*2)*2*0,5</t>
  </si>
  <si>
    <t>m.č.405:6,9*8,5+(6,9+8,5)*2*3,4+(1,6+2*2)*2*0,5</t>
  </si>
  <si>
    <t>m.č.406:(6,9+3,7)*2*3,4+(1,6+2*2)*0,5</t>
  </si>
  <si>
    <t>m.č.407:6,9*3,7+(6,9+3,7)*2*3,4+(1,6+2*2)*0,5</t>
  </si>
  <si>
    <t>m.č.408:6,9*3,9+(6,9+3,9)*2*3,4+(1,6+2*2)*0,5</t>
  </si>
  <si>
    <t>m.č.409:(6,9+5,3)*2*3,4+(1,6+2*2)*2*0,5</t>
  </si>
  <si>
    <t>D+M - Akustický podhled - Absorbční - výměna kazet</t>
  </si>
  <si>
    <t>viz list "SIL - 5 NP"</t>
  </si>
  <si>
    <t>viz list "5.NP - Učebny"</t>
  </si>
  <si>
    <t>Kabeláž a přípojná místa pro audiovizuální techniku, včetně zasekání do zdi a zednického začištění m.č. 404A</t>
  </si>
  <si>
    <t>IK</t>
  </si>
  <si>
    <t>D+M dřev. dveří plných, ocel. zárub, . Kování kl/kl zlatý lesk, mechanický zámek, povrchová úprava RAL 1013 - hedvábný lesk, vel 900/1970, jedná se o kompletní výrobek, včetně osazeného kování, povch úpravy a příslušenství, RW37dB</t>
  </si>
  <si>
    <t>NP</t>
  </si>
  <si>
    <t>D+M repliky kování, klika-klika lesklý mosaz</t>
  </si>
  <si>
    <t>m.č.409:-1</t>
  </si>
  <si>
    <t>m.č.405:-1</t>
  </si>
  <si>
    <t>z m.č.407 do m.č.408 : 1</t>
  </si>
  <si>
    <t>z m.č.405 do m.č.406 : 1</t>
  </si>
  <si>
    <t>z m.č.404B do m.č.404C : 1</t>
  </si>
  <si>
    <t>Repasování půdovního kování</t>
  </si>
  <si>
    <t>SoD</t>
  </si>
  <si>
    <t>Repasování dvou křídel dveří  1250*2250mm, dle potřeby lokálně odstranit stávající nátěr, lokálně překytovat a přebrousit, nový nátěr dveří a zárubní v původním odstínu</t>
  </si>
  <si>
    <t>m.č.406:-1</t>
  </si>
  <si>
    <t>m.č.404B:-1</t>
  </si>
  <si>
    <t>96 Bourání konstrukcí</t>
  </si>
  <si>
    <t>m.č.404A:6,9*3,5</t>
  </si>
  <si>
    <t>m.č.403: 1,45*2,40</t>
  </si>
  <si>
    <t>ÚRS 2024_1</t>
  </si>
  <si>
    <t>Tenkovrstvá minerální zatíraná (škrábaná) omítka zrnitost 2,0 mm vnitřních stěn</t>
  </si>
  <si>
    <t>612381026</t>
  </si>
  <si>
    <t>m.č.403: 1,45*2,40*1,05</t>
  </si>
  <si>
    <t>deska tepelně izolační minerální kontaktních fasád kolmé vlákno λ=0,040-0,041 tl 140mm</t>
  </si>
  <si>
    <t>63151532</t>
  </si>
  <si>
    <t>Montáž kontaktního zateplení vnějších stěn lepením a mechanickým kotvením desek z minerální vlny s kolmou orientací do zdiva a betonu tl přes 120 do 160 mm</t>
  </si>
  <si>
    <t>622221131</t>
  </si>
  <si>
    <t>Výplně otvorů konstrukcí ze sádrokartonových desek ztužující výplň otvoru pro dveře s UA a UW profilem, výšky příčky přes 3,25 do 3,75 m</t>
  </si>
  <si>
    <t>763181422</t>
  </si>
  <si>
    <t>m.č.408: 3,88*2+6,93*2</t>
  </si>
  <si>
    <t>m.č.407: 3,68*2+6,93*2</t>
  </si>
  <si>
    <t>m.č.405: 8,458*2+6,93</t>
  </si>
  <si>
    <t>m.č.404C: 2,68*2+6,93*2</t>
  </si>
  <si>
    <t>m.č.404B: 2,81*2+6,93</t>
  </si>
  <si>
    <t>m.č.404A: 3,2*2+6,93</t>
  </si>
  <si>
    <t>m.č.403: 3,2*2+6,93*2</t>
  </si>
  <si>
    <t>mb</t>
  </si>
  <si>
    <t>Podhled ze sádrokartonových desek ostatní práce a konstrukce na podhledech ze sádrokartonových desek napojení na jiný druh podhledu</t>
  </si>
  <si>
    <t>763131712</t>
  </si>
  <si>
    <t>m.č.404A: 6,9*3,5-0,9*1,97</t>
  </si>
  <si>
    <t>m.č.404B: 6,9*0,5</t>
  </si>
  <si>
    <t>m.č.404A: 6,9*0,5</t>
  </si>
  <si>
    <t xml:space="preserve">Celková suť </t>
  </si>
  <si>
    <t xml:space="preserve">Jednotková suť </t>
  </si>
  <si>
    <t xml:space="preserve">Celková hmotnost </t>
  </si>
  <si>
    <t xml:space="preserve">Jednotková hmotnost </t>
  </si>
  <si>
    <t>Cenová soustava/
 Zdroj položky</t>
  </si>
  <si>
    <t xml:space="preserve">Změnový list č.1 </t>
  </si>
  <si>
    <t>5.NP ZL Č.1</t>
  </si>
  <si>
    <t>720 Zdravotechnická instalace</t>
  </si>
  <si>
    <t>m.č.326: 1</t>
  </si>
  <si>
    <t>m.č.325: 1</t>
  </si>
  <si>
    <t>m.č.319: 1</t>
  </si>
  <si>
    <t>m.č.317: 1</t>
  </si>
  <si>
    <t xml:space="preserve">Dodávka umyvadla a umyvadlové baterii včetně příslušenství </t>
  </si>
  <si>
    <t>720 00-0004R</t>
  </si>
  <si>
    <t>Změnový list č.2</t>
  </si>
  <si>
    <t>m.č.217: 1</t>
  </si>
  <si>
    <t>M21 Elektromontáže+akustika+audioviz. technika</t>
  </si>
  <si>
    <t>viz list "SLA - 5.NP - ZL č.2"</t>
  </si>
  <si>
    <t>viz list "SIL - 5.NP - ZL č.2"</t>
  </si>
  <si>
    <t>766 Nábytek</t>
  </si>
  <si>
    <t>m.č.405: 1</t>
  </si>
  <si>
    <t>Příplatek k atypické nábytkové stěně za větší rozměr a za posuvná dvířka.</t>
  </si>
  <si>
    <t>m.č.409: 1</t>
  </si>
  <si>
    <t>m.č.408: 1</t>
  </si>
  <si>
    <t>m.č.407: 2</t>
  </si>
  <si>
    <t xml:space="preserve">ÚRS 2024 02 </t>
  </si>
  <si>
    <t>dvířka revizní jednokřídlá s automatickým zámkem 200x200mm</t>
  </si>
  <si>
    <t>59030710</t>
  </si>
  <si>
    <t>Montáž dvířek pro konstrukce ze sádrokartonových desek revizních jednoplášťových pro podhledy velikost (šxv) 200 x 200 mm</t>
  </si>
  <si>
    <t>763172351</t>
  </si>
  <si>
    <t>Zhotovení otvorů v podhledech a podkrovích ze sádrokartonových desek pro prostupy (voda, elektro, topení, VZT), osvětlení, sprinklery, revizní klapky a dvířka včetně vyztužení profily, velikost do 0,10 m2</t>
  </si>
  <si>
    <t>763131911</t>
  </si>
  <si>
    <t>5.NP ZL Č.2</t>
  </si>
  <si>
    <t>3.NP ZL Č.2</t>
  </si>
  <si>
    <t>4.NP ZL Č.2</t>
  </si>
  <si>
    <t>Změnový list č. 3</t>
  </si>
  <si>
    <t>m.č.20:-3,7*6,5</t>
  </si>
  <si>
    <t>m.č.22:-3,7*6,5</t>
  </si>
  <si>
    <t>m.č.24:-3,7*6,5</t>
  </si>
  <si>
    <t>m.č.25:-3,7*6,5</t>
  </si>
  <si>
    <t>m.č.20:(1+0,25)*3,7</t>
  </si>
  <si>
    <t>m.č.22:(1+0,25)*3,7</t>
  </si>
  <si>
    <t>m.č.24:(1+0,25)*3,7</t>
  </si>
  <si>
    <t>m.č.25:(1+0,25)*3,7</t>
  </si>
  <si>
    <t>m.č.20:3,7*5,4</t>
  </si>
  <si>
    <t>m.č.22:3,7*5,4</t>
  </si>
  <si>
    <t>m.č.24:3,7*5,4</t>
  </si>
  <si>
    <t>m.č.25:3,7*5,4</t>
  </si>
  <si>
    <t>763172352</t>
  </si>
  <si>
    <t>Montáž dvířek pro konstrukce ze sádrokartonových desek revizních jednoplášťových pro podhledy velikost (šxv) 300 x 300 mm</t>
  </si>
  <si>
    <t>59030711</t>
  </si>
  <si>
    <t>dvířka revizní jednokřídlá s automatickým zámkem 300x300mm</t>
  </si>
  <si>
    <t xml:space="preserve">Kaslík L včetně AL rohu 400x200mm </t>
  </si>
  <si>
    <t xml:space="preserve">IK </t>
  </si>
  <si>
    <t>Šikmé čelo pro výdech VZT včetně AL rohu</t>
  </si>
  <si>
    <t>viz list "1.NP - AV tech Učebny ZL č. 3"</t>
  </si>
  <si>
    <t>643 94-0002R</t>
  </si>
  <si>
    <t>Repasování  křídla dveří  950*2250mm, dle potřeby lokálně odstranit stávající nátěr, lokálně překytovat a přebrousit, nový nátěr dveří a zárubní v původním odstínu</t>
  </si>
  <si>
    <t>x1</t>
  </si>
  <si>
    <t xml:space="preserve">Vypuštění a napuštění topného systému </t>
  </si>
  <si>
    <t>766 00-0001-R1</t>
  </si>
  <si>
    <t>Příplatek ke kuchcké lince m.č. 24</t>
  </si>
  <si>
    <t>766 00-0001-R2</t>
  </si>
  <si>
    <t>Příplatek ke kuchcké lince m.č. 25</t>
  </si>
  <si>
    <t>viz list "SIL - 1.NP ZL č.3"</t>
  </si>
  <si>
    <t>1.NP ZL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</si>
</sst>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dd/mm/yy"/>
    <numFmt numFmtId="165" formatCode="#,##0\ &quot;Kč&quot;"/>
    <numFmt numFmtId="166" formatCode="_-* #,##0\ &quot;Kč&quot;_-;\-* #,##0\ &quot;Kč&quot;_-;_-* &quot;-&quot;??\ &quot;Kč&quot;_-;_-@_-"/>
    <numFmt numFmtId="167" formatCode="_-* #,##0.0\ _K_č_-;\-* #,##0.0\ _K_č_-;_-* &quot;-&quot;??\ _K_č_-;_-@_-"/>
    <numFmt numFmtId="168" formatCode="_-* #,##0.0\ _K_č_-;\-* #,##0.0\ _K_č_-;_-* &quot;-&quot;?\ _K_č_-;_-@_-"/>
    <numFmt numFmtId="169" formatCode="_-* #,##0.00\ _K_č_-;\-* #,##0.00\ _K_č_-;_-* &quot;-&quot;??\ _K_č_-;_-@_-"/>
  </numFmts>
  <fonts count="34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rgb="FF0066FF"/>
      <name val="Arial CE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0" tint="-0.14999847407452621"/>
      <name val="Arial CE"/>
      <family val="2"/>
      <charset val="238"/>
    </font>
    <font>
      <sz val="8"/>
      <color theme="0" tint="-0.14999847407452621"/>
      <name val="Arial CE"/>
      <family val="2"/>
      <charset val="238"/>
    </font>
    <font>
      <sz val="11"/>
      <color theme="1"/>
      <name val="Calibri"/>
      <family val="2"/>
      <scheme val="minor"/>
    </font>
    <font>
      <sz val="8"/>
      <color rgb="FF0066FF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theme="1"/>
      <name val="Calibri"/>
      <family val="2"/>
      <scheme val="minor"/>
    </font>
    <font>
      <b/>
      <sz val="8"/>
      <name val="Arial CE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27" fillId="0" borderId="0"/>
    <xf numFmtId="44" fontId="2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38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0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4" xfId="0" applyNumberFormat="1" applyBorder="1"/>
    <xf numFmtId="0" fontId="0" fillId="0" borderId="15" xfId="0" applyBorder="1"/>
    <xf numFmtId="0" fontId="0" fillId="0" borderId="32" xfId="0" applyBorder="1"/>
    <xf numFmtId="0" fontId="7" fillId="0" borderId="16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0" fontId="6" fillId="0" borderId="34" xfId="0" applyFont="1" applyBorder="1"/>
    <xf numFmtId="0" fontId="6" fillId="0" borderId="35" xfId="0" applyFont="1" applyBorder="1"/>
    <xf numFmtId="0" fontId="6" fillId="0" borderId="38" xfId="0" applyFont="1" applyBorder="1"/>
    <xf numFmtId="165" fontId="6" fillId="0" borderId="35" xfId="0" applyNumberFormat="1" applyFont="1" applyBorder="1"/>
    <xf numFmtId="0" fontId="6" fillId="0" borderId="39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0" fontId="3" fillId="0" borderId="46" xfId="1" applyFont="1" applyBorder="1"/>
    <xf numFmtId="0" fontId="9" fillId="0" borderId="46" xfId="1" applyBorder="1"/>
    <xf numFmtId="0" fontId="9" fillId="0" borderId="46" xfId="1" applyBorder="1" applyAlignment="1">
      <alignment horizontal="right"/>
    </xf>
    <xf numFmtId="0" fontId="5" fillId="0" borderId="26" xfId="0" applyFont="1" applyBorder="1"/>
    <xf numFmtId="0" fontId="5" fillId="0" borderId="27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 applyAlignment="1">
      <alignment horizontal="center"/>
    </xf>
    <xf numFmtId="3" fontId="10" fillId="0" borderId="0" xfId="0" applyNumberFormat="1" applyFont="1"/>
    <xf numFmtId="4" fontId="10" fillId="0" borderId="0" xfId="0" applyNumberFormat="1" applyFont="1"/>
    <xf numFmtId="0" fontId="9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0" fillId="0" borderId="42" xfId="1" applyFont="1" applyBorder="1" applyAlignment="1">
      <alignment horizontal="right"/>
    </xf>
    <xf numFmtId="0" fontId="9" fillId="0" borderId="42" xfId="1" applyBorder="1" applyAlignment="1">
      <alignment horizontal="left"/>
    </xf>
    <xf numFmtId="0" fontId="10" fillId="0" borderId="0" xfId="1" applyFont="1"/>
    <xf numFmtId="0" fontId="9" fillId="0" borderId="0" xfId="1" applyAlignment="1">
      <alignment horizontal="right"/>
    </xf>
    <xf numFmtId="49" fontId="4" fillId="0" borderId="50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16" fillId="0" borderId="0" xfId="1" applyFont="1"/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49" fontId="10" fillId="0" borderId="5" xfId="0" applyNumberFormat="1" applyFont="1" applyBorder="1"/>
    <xf numFmtId="0" fontId="5" fillId="0" borderId="48" xfId="1" applyFont="1" applyBorder="1" applyAlignment="1">
      <alignment horizontal="center" vertical="top"/>
    </xf>
    <xf numFmtId="49" fontId="5" fillId="0" borderId="48" xfId="1" applyNumberFormat="1" applyFont="1" applyBorder="1" applyAlignment="1">
      <alignment horizontal="left" vertical="top"/>
    </xf>
    <xf numFmtId="0" fontId="5" fillId="0" borderId="48" xfId="1" applyFont="1" applyBorder="1" applyAlignment="1">
      <alignment vertical="top"/>
    </xf>
    <xf numFmtId="0" fontId="9" fillId="0" borderId="48" xfId="1" applyBorder="1" applyAlignment="1">
      <alignment horizontal="center" vertical="top"/>
    </xf>
    <xf numFmtId="0" fontId="9" fillId="0" borderId="48" xfId="1" applyBorder="1" applyAlignment="1">
      <alignment horizontal="right" vertical="top"/>
    </xf>
    <xf numFmtId="0" fontId="9" fillId="0" borderId="48" xfId="1" applyBorder="1" applyAlignment="1">
      <alignment vertical="top"/>
    </xf>
    <xf numFmtId="0" fontId="7" fillId="0" borderId="48" xfId="1" applyFont="1" applyBorder="1" applyAlignment="1">
      <alignment horizontal="center" vertical="top"/>
    </xf>
    <xf numFmtId="49" fontId="8" fillId="0" borderId="48" xfId="1" applyNumberFormat="1" applyFont="1" applyBorder="1" applyAlignment="1">
      <alignment horizontal="left" vertical="top"/>
    </xf>
    <xf numFmtId="0" fontId="8" fillId="0" borderId="48" xfId="1" applyFont="1" applyBorder="1" applyAlignment="1">
      <alignment vertical="top" wrapText="1"/>
    </xf>
    <xf numFmtId="49" fontId="15" fillId="0" borderId="48" xfId="1" applyNumberFormat="1" applyFont="1" applyBorder="1" applyAlignment="1">
      <alignment horizontal="center" vertical="top" shrinkToFit="1"/>
    </xf>
    <xf numFmtId="4" fontId="15" fillId="0" borderId="48" xfId="1" applyNumberFormat="1" applyFont="1" applyBorder="1" applyAlignment="1">
      <alignment horizontal="right" vertical="top"/>
    </xf>
    <xf numFmtId="4" fontId="15" fillId="0" borderId="48" xfId="1" applyNumberFormat="1" applyFont="1" applyBorder="1" applyAlignment="1">
      <alignment vertical="top"/>
    </xf>
    <xf numFmtId="0" fontId="9" fillId="0" borderId="51" xfId="1" applyBorder="1" applyAlignment="1">
      <alignment horizontal="center" vertical="top"/>
    </xf>
    <xf numFmtId="49" fontId="3" fillId="0" borderId="51" xfId="1" applyNumberFormat="1" applyFont="1" applyBorder="1" applyAlignment="1">
      <alignment horizontal="left" vertical="top"/>
    </xf>
    <xf numFmtId="0" fontId="3" fillId="0" borderId="51" xfId="1" applyFont="1" applyBorder="1" applyAlignment="1">
      <alignment vertical="top"/>
    </xf>
    <xf numFmtId="4" fontId="9" fillId="0" borderId="51" xfId="1" applyNumberFormat="1" applyBorder="1" applyAlignment="1">
      <alignment horizontal="right" vertical="top"/>
    </xf>
    <xf numFmtId="4" fontId="5" fillId="0" borderId="51" xfId="1" applyNumberFormat="1" applyFont="1" applyBorder="1" applyAlignment="1">
      <alignment vertical="top"/>
    </xf>
    <xf numFmtId="0" fontId="8" fillId="3" borderId="48" xfId="1" applyFont="1" applyFill="1" applyBorder="1" applyAlignment="1">
      <alignment vertical="top" wrapText="1"/>
    </xf>
    <xf numFmtId="0" fontId="0" fillId="4" borderId="7" xfId="0" applyFill="1" applyBorder="1"/>
    <xf numFmtId="4" fontId="15" fillId="3" borderId="48" xfId="1" applyNumberFormat="1" applyFont="1" applyFill="1" applyBorder="1" applyAlignment="1">
      <alignment horizontal="right" vertical="top"/>
    </xf>
    <xf numFmtId="49" fontId="15" fillId="3" borderId="48" xfId="1" applyNumberFormat="1" applyFont="1" applyFill="1" applyBorder="1" applyAlignment="1">
      <alignment horizontal="center" vertical="top" shrinkToFit="1"/>
    </xf>
    <xf numFmtId="4" fontId="9" fillId="3" borderId="0" xfId="1" applyNumberFormat="1" applyFill="1"/>
    <xf numFmtId="0" fontId="9" fillId="3" borderId="0" xfId="1" applyFill="1" applyAlignment="1">
      <alignment horizontal="right" vertical="top"/>
    </xf>
    <xf numFmtId="4" fontId="15" fillId="3" borderId="0" xfId="1" applyNumberFormat="1" applyFont="1" applyFill="1" applyAlignment="1">
      <alignment horizontal="right" vertical="top"/>
    </xf>
    <xf numFmtId="4" fontId="9" fillId="3" borderId="0" xfId="1" applyNumberFormat="1" applyFill="1" applyAlignment="1">
      <alignment horizontal="right" vertical="top"/>
    </xf>
    <xf numFmtId="0" fontId="9" fillId="0" borderId="0" xfId="1" applyAlignment="1">
      <alignment vertical="top"/>
    </xf>
    <xf numFmtId="0" fontId="9" fillId="3" borderId="0" xfId="1" applyFill="1"/>
    <xf numFmtId="0" fontId="9" fillId="3" borderId="48" xfId="1" applyFill="1" applyBorder="1" applyAlignment="1">
      <alignment horizontal="right" vertical="top"/>
    </xf>
    <xf numFmtId="4" fontId="9" fillId="3" borderId="51" xfId="1" applyNumberFormat="1" applyFill="1" applyBorder="1" applyAlignment="1">
      <alignment horizontal="right" vertical="top"/>
    </xf>
    <xf numFmtId="49" fontId="5" fillId="3" borderId="48" xfId="1" applyNumberFormat="1" applyFont="1" applyFill="1" applyBorder="1" applyAlignment="1">
      <alignment horizontal="left" vertical="top"/>
    </xf>
    <xf numFmtId="49" fontId="8" fillId="3" borderId="48" xfId="1" applyNumberFormat="1" applyFont="1" applyFill="1" applyBorder="1" applyAlignment="1">
      <alignment horizontal="left" vertical="top"/>
    </xf>
    <xf numFmtId="49" fontId="3" fillId="3" borderId="51" xfId="1" applyNumberFormat="1" applyFont="1" applyFill="1" applyBorder="1" applyAlignment="1">
      <alignment horizontal="left" vertical="top"/>
    </xf>
    <xf numFmtId="49" fontId="0" fillId="4" borderId="13" xfId="0" applyNumberFormat="1" applyFill="1" applyBorder="1" applyAlignment="1">
      <alignment horizontal="left"/>
    </xf>
    <xf numFmtId="0" fontId="18" fillId="0" borderId="43" xfId="1" applyFont="1" applyBorder="1"/>
    <xf numFmtId="0" fontId="19" fillId="0" borderId="48" xfId="1" applyFont="1" applyBorder="1" applyAlignment="1">
      <alignment vertical="top" wrapText="1"/>
    </xf>
    <xf numFmtId="49" fontId="19" fillId="0" borderId="48" xfId="1" applyNumberFormat="1" applyFont="1" applyBorder="1" applyAlignment="1">
      <alignment horizontal="center" vertical="top" shrinkToFit="1"/>
    </xf>
    <xf numFmtId="4" fontId="19" fillId="3" borderId="48" xfId="1" applyNumberFormat="1" applyFont="1" applyFill="1" applyBorder="1" applyAlignment="1">
      <alignment horizontal="right" vertical="top"/>
    </xf>
    <xf numFmtId="4" fontId="11" fillId="0" borderId="51" xfId="1" applyNumberFormat="1" applyFont="1" applyBorder="1" applyAlignment="1">
      <alignment vertical="top"/>
    </xf>
    <xf numFmtId="3" fontId="7" fillId="0" borderId="0" xfId="0" applyNumberFormat="1" applyFont="1"/>
    <xf numFmtId="3" fontId="5" fillId="0" borderId="0" xfId="0" applyNumberFormat="1" applyFont="1"/>
    <xf numFmtId="0" fontId="9" fillId="0" borderId="50" xfId="1" applyBorder="1" applyAlignment="1">
      <alignment horizontal="center" vertical="top"/>
    </xf>
    <xf numFmtId="49" fontId="3" fillId="0" borderId="50" xfId="1" applyNumberFormat="1" applyFont="1" applyBorder="1" applyAlignment="1">
      <alignment horizontal="left" vertical="top"/>
    </xf>
    <xf numFmtId="0" fontId="3" fillId="0" borderId="50" xfId="1" applyFont="1" applyBorder="1" applyAlignment="1">
      <alignment vertical="top"/>
    </xf>
    <xf numFmtId="4" fontId="9" fillId="3" borderId="50" xfId="1" applyNumberFormat="1" applyFill="1" applyBorder="1" applyAlignment="1">
      <alignment horizontal="right" vertical="top"/>
    </xf>
    <xf numFmtId="4" fontId="9" fillId="0" borderId="50" xfId="1" applyNumberFormat="1" applyBorder="1" applyAlignment="1">
      <alignment horizontal="right" vertical="top"/>
    </xf>
    <xf numFmtId="4" fontId="11" fillId="0" borderId="50" xfId="1" applyNumberFormat="1" applyFont="1" applyBorder="1" applyAlignment="1">
      <alignment vertical="top"/>
    </xf>
    <xf numFmtId="0" fontId="21" fillId="0" borderId="0" xfId="1" applyFont="1"/>
    <xf numFmtId="0" fontId="21" fillId="0" borderId="0" xfId="1" applyFont="1" applyAlignment="1">
      <alignment vertical="top"/>
    </xf>
    <xf numFmtId="0" fontId="21" fillId="3" borderId="0" xfId="1" applyFont="1" applyFill="1"/>
    <xf numFmtId="4" fontId="21" fillId="3" borderId="0" xfId="1" applyNumberFormat="1" applyFont="1" applyFill="1" applyAlignment="1">
      <alignment horizontal="left" vertical="top"/>
    </xf>
    <xf numFmtId="0" fontId="3" fillId="3" borderId="51" xfId="1" applyFont="1" applyFill="1" applyBorder="1" applyAlignment="1">
      <alignment vertical="top"/>
    </xf>
    <xf numFmtId="0" fontId="9" fillId="3" borderId="51" xfId="1" applyFill="1" applyBorder="1" applyAlignment="1">
      <alignment horizontal="center" vertical="top"/>
    </xf>
    <xf numFmtId="0" fontId="5" fillId="3" borderId="48" xfId="1" applyFont="1" applyFill="1" applyBorder="1" applyAlignment="1">
      <alignment vertical="top"/>
    </xf>
    <xf numFmtId="0" fontId="9" fillId="3" borderId="48" xfId="1" applyFill="1" applyBorder="1" applyAlignment="1">
      <alignment horizontal="center" vertical="top"/>
    </xf>
    <xf numFmtId="0" fontId="11" fillId="0" borderId="0" xfId="1" applyFont="1" applyAlignment="1">
      <alignment horizontal="left"/>
    </xf>
    <xf numFmtId="0" fontId="21" fillId="0" borderId="0" xfId="1" applyFont="1" applyAlignment="1">
      <alignment vertical="center" wrapText="1"/>
    </xf>
    <xf numFmtId="0" fontId="21" fillId="3" borderId="0" xfId="1" applyFont="1" applyFill="1" applyAlignment="1">
      <alignment vertical="top"/>
    </xf>
    <xf numFmtId="0" fontId="9" fillId="3" borderId="0" xfId="1" applyFill="1" applyAlignment="1">
      <alignment vertical="top"/>
    </xf>
    <xf numFmtId="0" fontId="15" fillId="0" borderId="48" xfId="1" applyFont="1" applyBorder="1" applyAlignment="1">
      <alignment vertical="top" wrapText="1"/>
    </xf>
    <xf numFmtId="0" fontId="7" fillId="3" borderId="48" xfId="1" applyFont="1" applyFill="1" applyBorder="1" applyAlignment="1">
      <alignment horizontal="center" vertical="top"/>
    </xf>
    <xf numFmtId="4" fontId="15" fillId="3" borderId="48" xfId="1" applyNumberFormat="1" applyFont="1" applyFill="1" applyBorder="1" applyAlignment="1">
      <alignment vertical="top"/>
    </xf>
    <xf numFmtId="0" fontId="19" fillId="3" borderId="48" xfId="1" applyFont="1" applyFill="1" applyBorder="1" applyAlignment="1">
      <alignment vertical="top" wrapText="1"/>
    </xf>
    <xf numFmtId="49" fontId="19" fillId="3" borderId="48" xfId="1" applyNumberFormat="1" applyFont="1" applyFill="1" applyBorder="1" applyAlignment="1">
      <alignment horizontal="center" vertical="top" shrinkToFit="1"/>
    </xf>
    <xf numFmtId="4" fontId="5" fillId="3" borderId="51" xfId="1" applyNumberFormat="1" applyFont="1" applyFill="1" applyBorder="1" applyAlignment="1">
      <alignment vertical="top"/>
    </xf>
    <xf numFmtId="0" fontId="23" fillId="0" borderId="0" xfId="1" applyFont="1" applyAlignment="1">
      <alignment vertical="top"/>
    </xf>
    <xf numFmtId="0" fontId="22" fillId="0" borderId="0" xfId="1" applyFont="1"/>
    <xf numFmtId="0" fontId="23" fillId="0" borderId="0" xfId="1" applyFont="1" applyAlignment="1">
      <alignment vertical="center" wrapText="1"/>
    </xf>
    <xf numFmtId="0" fontId="23" fillId="3" borderId="0" xfId="1" applyFont="1" applyFill="1" applyAlignment="1">
      <alignment vertical="top"/>
    </xf>
    <xf numFmtId="0" fontId="24" fillId="0" borderId="48" xfId="1" applyFont="1" applyBorder="1" applyAlignment="1">
      <alignment vertical="top" wrapText="1"/>
    </xf>
    <xf numFmtId="49" fontId="1" fillId="0" borderId="0" xfId="0" applyNumberFormat="1" applyFont="1" applyAlignment="1">
      <alignment horizontal="left"/>
    </xf>
    <xf numFmtId="0" fontId="5" fillId="0" borderId="27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49" xfId="0" applyFont="1" applyBorder="1" applyAlignment="1">
      <alignment horizontal="center"/>
    </xf>
    <xf numFmtId="0" fontId="0" fillId="0" borderId="30" xfId="0" applyBorder="1"/>
    <xf numFmtId="0" fontId="11" fillId="0" borderId="52" xfId="0" applyFont="1" applyBorder="1" applyAlignment="1">
      <alignment horizontal="center"/>
    </xf>
    <xf numFmtId="0" fontId="7" fillId="0" borderId="5" xfId="0" applyFont="1" applyBorder="1"/>
    <xf numFmtId="0" fontId="7" fillId="0" borderId="0" xfId="0" applyFont="1"/>
    <xf numFmtId="3" fontId="7" fillId="0" borderId="9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165" fontId="5" fillId="0" borderId="27" xfId="0" applyNumberFormat="1" applyFont="1" applyBorder="1"/>
    <xf numFmtId="165" fontId="11" fillId="0" borderId="27" xfId="0" applyNumberFormat="1" applyFont="1" applyBorder="1" applyAlignment="1">
      <alignment horizontal="center"/>
    </xf>
    <xf numFmtId="0" fontId="9" fillId="0" borderId="41" xfId="1" applyBorder="1"/>
    <xf numFmtId="0" fontId="9" fillId="0" borderId="45" xfId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0" xfId="0" applyFill="1"/>
    <xf numFmtId="0" fontId="0" fillId="4" borderId="6" xfId="0" applyFill="1" applyBorder="1"/>
    <xf numFmtId="0" fontId="3" fillId="2" borderId="0" xfId="0" applyFont="1" applyFill="1"/>
    <xf numFmtId="0" fontId="0" fillId="2" borderId="0" xfId="0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5" fillId="0" borderId="48" xfId="1" applyFont="1" applyBorder="1" applyAlignment="1">
      <alignment horizontal="center" vertical="top"/>
    </xf>
    <xf numFmtId="49" fontId="26" fillId="0" borderId="48" xfId="1" applyNumberFormat="1" applyFont="1" applyBorder="1" applyAlignment="1">
      <alignment horizontal="left" vertical="top"/>
    </xf>
    <xf numFmtId="0" fontId="26" fillId="3" borderId="48" xfId="1" applyFont="1" applyFill="1" applyBorder="1" applyAlignment="1">
      <alignment vertical="top" wrapText="1"/>
    </xf>
    <xf numFmtId="49" fontId="26" fillId="0" borderId="48" xfId="1" applyNumberFormat="1" applyFont="1" applyBorder="1" applyAlignment="1">
      <alignment horizontal="center" vertical="top" shrinkToFit="1"/>
    </xf>
    <xf numFmtId="4" fontId="26" fillId="3" borderId="48" xfId="1" applyNumberFormat="1" applyFont="1" applyFill="1" applyBorder="1" applyAlignment="1">
      <alignment horizontal="right" vertical="top"/>
    </xf>
    <xf numFmtId="4" fontId="26" fillId="0" borderId="48" xfId="1" applyNumberFormat="1" applyFont="1" applyBorder="1" applyAlignment="1">
      <alignment vertical="top"/>
    </xf>
    <xf numFmtId="0" fontId="25" fillId="0" borderId="0" xfId="1" applyFont="1"/>
    <xf numFmtId="4" fontId="26" fillId="3" borderId="0" xfId="1" applyNumberFormat="1" applyFont="1" applyFill="1" applyAlignment="1">
      <alignment horizontal="right" vertical="top"/>
    </xf>
    <xf numFmtId="4" fontId="25" fillId="3" borderId="0" xfId="1" applyNumberFormat="1" applyFont="1" applyFill="1"/>
    <xf numFmtId="4" fontId="7" fillId="0" borderId="53" xfId="0" applyNumberFormat="1" applyFont="1" applyBorder="1" applyAlignment="1">
      <alignment horizontal="center"/>
    </xf>
    <xf numFmtId="0" fontId="27" fillId="0" borderId="0" xfId="2"/>
    <xf numFmtId="0" fontId="27" fillId="0" borderId="0" xfId="2" applyAlignment="1">
      <alignment horizontal="center"/>
    </xf>
    <xf numFmtId="0" fontId="27" fillId="0" borderId="0" xfId="2" applyAlignment="1">
      <alignment vertical="center"/>
    </xf>
    <xf numFmtId="166" fontId="5" fillId="0" borderId="50" xfId="3" applyNumberFormat="1" applyFont="1" applyBorder="1" applyAlignment="1">
      <alignment vertical="top"/>
    </xf>
    <xf numFmtId="4" fontId="7" fillId="0" borderId="50" xfId="4" applyNumberFormat="1" applyBorder="1" applyAlignment="1">
      <alignment horizontal="right" vertical="top"/>
    </xf>
    <xf numFmtId="4" fontId="7" fillId="3" borderId="50" xfId="4" applyNumberFormat="1" applyFill="1" applyBorder="1" applyAlignment="1">
      <alignment horizontal="right" vertical="top"/>
    </xf>
    <xf numFmtId="0" fontId="7" fillId="0" borderId="50" xfId="4" applyBorder="1" applyAlignment="1">
      <alignment horizontal="center" vertical="top"/>
    </xf>
    <xf numFmtId="0" fontId="3" fillId="0" borderId="50" xfId="4" applyFont="1" applyBorder="1" applyAlignment="1">
      <alignment vertical="top"/>
    </xf>
    <xf numFmtId="49" fontId="3" fillId="0" borderId="50" xfId="4" applyNumberFormat="1" applyFont="1" applyBorder="1" applyAlignment="1">
      <alignment horizontal="left" vertical="top"/>
    </xf>
    <xf numFmtId="0" fontId="7" fillId="0" borderId="0" xfId="4"/>
    <xf numFmtId="0" fontId="7" fillId="0" borderId="51" xfId="4" applyBorder="1" applyAlignment="1">
      <alignment horizontal="center"/>
    </xf>
    <xf numFmtId="166" fontId="5" fillId="0" borderId="51" xfId="3" applyNumberFormat="1" applyFont="1" applyBorder="1" applyAlignment="1">
      <alignment vertical="top"/>
    </xf>
    <xf numFmtId="4" fontId="7" fillId="0" borderId="51" xfId="4" applyNumberFormat="1" applyBorder="1" applyAlignment="1">
      <alignment horizontal="right" vertical="top"/>
    </xf>
    <xf numFmtId="4" fontId="7" fillId="3" borderId="51" xfId="4" applyNumberFormat="1" applyFill="1" applyBorder="1" applyAlignment="1">
      <alignment horizontal="right" vertical="top"/>
    </xf>
    <xf numFmtId="0" fontId="7" fillId="0" borderId="51" xfId="4" applyBorder="1" applyAlignment="1">
      <alignment horizontal="center" vertical="top"/>
    </xf>
    <xf numFmtId="0" fontId="3" fillId="0" borderId="51" xfId="4" applyFont="1" applyBorder="1" applyAlignment="1">
      <alignment vertical="top"/>
    </xf>
    <xf numFmtId="49" fontId="3" fillId="0" borderId="51" xfId="4" applyNumberFormat="1" applyFont="1" applyBorder="1" applyAlignment="1">
      <alignment horizontal="left" vertical="top"/>
    </xf>
    <xf numFmtId="4" fontId="8" fillId="0" borderId="48" xfId="4" applyNumberFormat="1" applyFont="1" applyBorder="1" applyAlignment="1">
      <alignment horizontal="center" vertical="top"/>
    </xf>
    <xf numFmtId="166" fontId="8" fillId="0" borderId="48" xfId="3" applyNumberFormat="1" applyFont="1" applyFill="1" applyBorder="1" applyAlignment="1">
      <alignment vertical="top"/>
    </xf>
    <xf numFmtId="4" fontId="8" fillId="3" borderId="48" xfId="4" applyNumberFormat="1" applyFont="1" applyFill="1" applyBorder="1" applyAlignment="1">
      <alignment horizontal="right" vertical="top"/>
    </xf>
    <xf numFmtId="49" fontId="8" fillId="0" borderId="48" xfId="4" applyNumberFormat="1" applyFont="1" applyBorder="1" applyAlignment="1">
      <alignment horizontal="center" vertical="top" shrinkToFit="1"/>
    </xf>
    <xf numFmtId="0" fontId="8" fillId="0" borderId="48" xfId="4" applyFont="1" applyBorder="1" applyAlignment="1">
      <alignment vertical="top" wrapText="1"/>
    </xf>
    <xf numFmtId="49" fontId="8" fillId="0" borderId="48" xfId="4" applyNumberFormat="1" applyFont="1" applyBorder="1" applyAlignment="1">
      <alignment horizontal="left" vertical="top"/>
    </xf>
    <xf numFmtId="0" fontId="7" fillId="0" borderId="48" xfId="4" applyBorder="1" applyAlignment="1">
      <alignment horizontal="center" vertical="top"/>
    </xf>
    <xf numFmtId="0" fontId="27" fillId="0" borderId="48" xfId="2" applyBorder="1" applyAlignment="1">
      <alignment horizontal="center"/>
    </xf>
    <xf numFmtId="166" fontId="7" fillId="0" borderId="48" xfId="3" applyNumberFormat="1" applyFont="1" applyBorder="1" applyAlignment="1">
      <alignment vertical="top"/>
    </xf>
    <xf numFmtId="0" fontId="7" fillId="0" borderId="48" xfId="4" applyBorder="1" applyAlignment="1">
      <alignment horizontal="right" vertical="top"/>
    </xf>
    <xf numFmtId="0" fontId="7" fillId="3" borderId="48" xfId="4" applyFill="1" applyBorder="1" applyAlignment="1">
      <alignment horizontal="right" vertical="top"/>
    </xf>
    <xf numFmtId="0" fontId="5" fillId="0" borderId="48" xfId="4" applyFont="1" applyBorder="1" applyAlignment="1">
      <alignment vertical="top"/>
    </xf>
    <xf numFmtId="49" fontId="5" fillId="0" borderId="48" xfId="4" applyNumberFormat="1" applyFont="1" applyBorder="1" applyAlignment="1">
      <alignment horizontal="left" vertical="top"/>
    </xf>
    <xf numFmtId="0" fontId="5" fillId="0" borderId="48" xfId="4" applyFont="1" applyBorder="1" applyAlignment="1">
      <alignment horizontal="center" vertical="top"/>
    </xf>
    <xf numFmtId="4" fontId="5" fillId="0" borderId="51" xfId="4" applyNumberFormat="1" applyFont="1" applyBorder="1" applyAlignment="1">
      <alignment horizontal="center" vertical="top"/>
    </xf>
    <xf numFmtId="49" fontId="3" fillId="3" borderId="51" xfId="4" applyNumberFormat="1" applyFont="1" applyFill="1" applyBorder="1" applyAlignment="1">
      <alignment horizontal="left" vertical="top"/>
    </xf>
    <xf numFmtId="4" fontId="8" fillId="0" borderId="48" xfId="4" applyNumberFormat="1" applyFont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left" vertical="top"/>
    </xf>
    <xf numFmtId="4" fontId="5" fillId="0" borderId="48" xfId="4" applyNumberFormat="1" applyFont="1" applyBorder="1" applyAlignment="1">
      <alignment horizontal="center" vertical="top"/>
    </xf>
    <xf numFmtId="49" fontId="5" fillId="3" borderId="48" xfId="4" applyNumberFormat="1" applyFont="1" applyFill="1" applyBorder="1" applyAlignment="1">
      <alignment horizontal="left" vertical="top"/>
    </xf>
    <xf numFmtId="4" fontId="5" fillId="0" borderId="51" xfId="4" applyNumberFormat="1" applyFont="1" applyBorder="1" applyAlignment="1">
      <alignment vertical="top"/>
    </xf>
    <xf numFmtId="49" fontId="3" fillId="3" borderId="51" xfId="4" applyNumberFormat="1" applyFont="1" applyFill="1" applyBorder="1" applyAlignment="1">
      <alignment horizontal="left" vertical="center"/>
    </xf>
    <xf numFmtId="4" fontId="8" fillId="0" borderId="48" xfId="4" applyNumberFormat="1" applyFont="1" applyBorder="1" applyAlignment="1">
      <alignment vertical="top"/>
    </xf>
    <xf numFmtId="4" fontId="28" fillId="3" borderId="48" xfId="4" applyNumberFormat="1" applyFont="1" applyFill="1" applyBorder="1" applyAlignment="1">
      <alignment horizontal="right" vertical="top"/>
    </xf>
    <xf numFmtId="49" fontId="28" fillId="0" borderId="48" xfId="4" applyNumberFormat="1" applyFont="1" applyBorder="1" applyAlignment="1">
      <alignment horizontal="center" vertical="top" shrinkToFit="1"/>
    </xf>
    <xf numFmtId="0" fontId="28" fillId="0" borderId="48" xfId="4" applyFont="1" applyBorder="1" applyAlignment="1">
      <alignment vertical="top" wrapText="1"/>
    </xf>
    <xf numFmtId="49" fontId="8" fillId="3" borderId="48" xfId="4" applyNumberFormat="1" applyFont="1" applyFill="1" applyBorder="1" applyAlignment="1">
      <alignment horizontal="left" vertical="center"/>
    </xf>
    <xf numFmtId="0" fontId="8" fillId="3" borderId="48" xfId="4" applyFont="1" applyFill="1" applyBorder="1" applyAlignment="1">
      <alignment vertical="top" wrapText="1"/>
    </xf>
    <xf numFmtId="0" fontId="27" fillId="0" borderId="53" xfId="2" applyBorder="1" applyAlignment="1">
      <alignment horizontal="center"/>
    </xf>
    <xf numFmtId="0" fontId="7" fillId="0" borderId="48" xfId="4" applyBorder="1" applyAlignment="1">
      <alignment vertical="top"/>
    </xf>
    <xf numFmtId="49" fontId="5" fillId="3" borderId="48" xfId="4" applyNumberFormat="1" applyFont="1" applyFill="1" applyBorder="1" applyAlignment="1">
      <alignment horizontal="left" vertical="center"/>
    </xf>
    <xf numFmtId="4" fontId="29" fillId="3" borderId="48" xfId="4" applyNumberFormat="1" applyFont="1" applyFill="1" applyBorder="1" applyAlignment="1">
      <alignment horizontal="right" vertical="top"/>
    </xf>
    <xf numFmtId="4" fontId="7" fillId="0" borderId="19" xfId="4" applyNumberFormat="1" applyBorder="1" applyAlignment="1">
      <alignment horizontal="right" vertical="top"/>
    </xf>
    <xf numFmtId="4" fontId="8" fillId="0" borderId="13" xfId="4" applyNumberFormat="1" applyFont="1" applyBorder="1" applyAlignment="1">
      <alignment horizontal="right" vertical="top"/>
    </xf>
    <xf numFmtId="4" fontId="29" fillId="0" borderId="48" xfId="4" applyNumberFormat="1" applyFont="1" applyBorder="1" applyAlignment="1">
      <alignment horizontal="right" vertical="top"/>
    </xf>
    <xf numFmtId="0" fontId="27" fillId="0" borderId="48" xfId="2" applyBorder="1"/>
    <xf numFmtId="4" fontId="8" fillId="3" borderId="48" xfId="4" applyNumberFormat="1" applyFont="1" applyFill="1" applyBorder="1" applyAlignment="1">
      <alignment horizontal="center" vertical="top"/>
    </xf>
    <xf numFmtId="4" fontId="8" fillId="3" borderId="48" xfId="4" applyNumberFormat="1" applyFont="1" applyFill="1" applyBorder="1" applyAlignment="1">
      <alignment vertical="top"/>
    </xf>
    <xf numFmtId="4" fontId="8" fillId="3" borderId="13" xfId="4" applyNumberFormat="1" applyFont="1" applyFill="1" applyBorder="1" applyAlignment="1">
      <alignment horizontal="right" vertical="top"/>
    </xf>
    <xf numFmtId="49" fontId="8" fillId="3" borderId="48" xfId="4" applyNumberFormat="1" applyFont="1" applyFill="1" applyBorder="1" applyAlignment="1">
      <alignment horizontal="center" vertical="top" shrinkToFit="1"/>
    </xf>
    <xf numFmtId="0" fontId="7" fillId="3" borderId="48" xfId="4" applyFill="1" applyBorder="1" applyAlignment="1">
      <alignment horizontal="center" vertical="top"/>
    </xf>
    <xf numFmtId="0" fontId="30" fillId="0" borderId="0" xfId="4" applyFont="1"/>
    <xf numFmtId="166" fontId="7" fillId="0" borderId="48" xfId="3" applyNumberFormat="1" applyFont="1" applyBorder="1" applyAlignment="1">
      <alignment horizontal="center" vertical="top"/>
    </xf>
    <xf numFmtId="0" fontId="27" fillId="3" borderId="0" xfId="2" applyFill="1"/>
    <xf numFmtId="0" fontId="7" fillId="0" borderId="53" xfId="4" applyBorder="1" applyAlignment="1">
      <alignment horizontal="center" vertical="top"/>
    </xf>
    <xf numFmtId="166" fontId="5" fillId="3" borderId="51" xfId="3" applyNumberFormat="1" applyFont="1" applyFill="1" applyBorder="1" applyAlignment="1">
      <alignment vertical="top"/>
    </xf>
    <xf numFmtId="0" fontId="7" fillId="3" borderId="51" xfId="4" applyFill="1" applyBorder="1" applyAlignment="1">
      <alignment horizontal="center" vertical="top"/>
    </xf>
    <xf numFmtId="0" fontId="3" fillId="3" borderId="51" xfId="4" applyFont="1" applyFill="1" applyBorder="1" applyAlignment="1">
      <alignment vertical="top"/>
    </xf>
    <xf numFmtId="0" fontId="4" fillId="0" borderId="50" xfId="4" applyFont="1" applyBorder="1" applyAlignment="1">
      <alignment horizontal="center" vertical="center" wrapText="1"/>
    </xf>
    <xf numFmtId="49" fontId="4" fillId="0" borderId="50" xfId="4" applyNumberFormat="1" applyFont="1" applyBorder="1" applyAlignment="1">
      <alignment horizontal="center" vertical="center" wrapText="1"/>
    </xf>
    <xf numFmtId="0" fontId="4" fillId="0" borderId="5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49" fontId="4" fillId="0" borderId="50" xfId="4" applyNumberFormat="1" applyFont="1" applyBorder="1" applyAlignment="1">
      <alignment horizontal="center" vertical="center"/>
    </xf>
    <xf numFmtId="0" fontId="7" fillId="0" borderId="0" xfId="4" applyAlignment="1">
      <alignment horizontal="right"/>
    </xf>
    <xf numFmtId="0" fontId="7" fillId="0" borderId="0" xfId="4" applyAlignment="1">
      <alignment vertical="center"/>
    </xf>
    <xf numFmtId="0" fontId="10" fillId="0" borderId="0" xfId="4" applyFont="1"/>
    <xf numFmtId="0" fontId="7" fillId="0" borderId="46" xfId="4" applyBorder="1"/>
    <xf numFmtId="0" fontId="3" fillId="0" borderId="46" xfId="4" applyFont="1" applyBorder="1"/>
    <xf numFmtId="0" fontId="3" fillId="0" borderId="43" xfId="4" applyFont="1" applyBorder="1"/>
    <xf numFmtId="0" fontId="7" fillId="0" borderId="42" xfId="4" applyBorder="1" applyAlignment="1">
      <alignment horizontal="left"/>
    </xf>
    <xf numFmtId="0" fontId="10" fillId="0" borderId="42" xfId="4" applyFont="1" applyBorder="1" applyAlignment="1">
      <alignment horizontal="right"/>
    </xf>
    <xf numFmtId="0" fontId="7" fillId="0" borderId="42" xfId="4" applyBorder="1"/>
    <xf numFmtId="0" fontId="3" fillId="0" borderId="42" xfId="4" applyFont="1" applyBorder="1"/>
    <xf numFmtId="4" fontId="19" fillId="3" borderId="48" xfId="4" applyNumberFormat="1" applyFont="1" applyFill="1" applyBorder="1" applyAlignment="1">
      <alignment horizontal="right" vertical="top"/>
    </xf>
    <xf numFmtId="49" fontId="19" fillId="0" borderId="48" xfId="4" applyNumberFormat="1" applyFont="1" applyBorder="1" applyAlignment="1">
      <alignment horizontal="center" vertical="top" shrinkToFit="1"/>
    </xf>
    <xf numFmtId="0" fontId="19" fillId="0" borderId="48" xfId="4" applyFont="1" applyBorder="1" applyAlignment="1">
      <alignment vertical="top" wrapText="1"/>
    </xf>
    <xf numFmtId="4" fontId="8" fillId="0" borderId="48" xfId="4" applyNumberFormat="1" applyFont="1" applyBorder="1" applyAlignment="1">
      <alignment horizontal="center" vertical="top" wrapText="1"/>
    </xf>
    <xf numFmtId="0" fontId="7" fillId="0" borderId="32" xfId="0" applyFont="1" applyBorder="1"/>
    <xf numFmtId="0" fontId="27" fillId="0" borderId="0" xfId="2" applyAlignment="1">
      <alignment horizontal="center" vertical="center"/>
    </xf>
    <xf numFmtId="0" fontId="31" fillId="0" borderId="0" xfId="2" applyFont="1" applyAlignment="1">
      <alignment vertical="center"/>
    </xf>
    <xf numFmtId="0" fontId="31" fillId="0" borderId="0" xfId="2" applyFont="1" applyAlignment="1">
      <alignment horizontal="center" vertical="center"/>
    </xf>
    <xf numFmtId="0" fontId="3" fillId="0" borderId="42" xfId="4" applyFont="1" applyBorder="1" applyAlignment="1">
      <alignment vertical="center"/>
    </xf>
    <xf numFmtId="0" fontId="7" fillId="0" borderId="42" xfId="4" applyBorder="1" applyAlignment="1">
      <alignment vertical="center"/>
    </xf>
    <xf numFmtId="0" fontId="10" fillId="0" borderId="42" xfId="4" applyFont="1" applyBorder="1" applyAlignment="1">
      <alignment horizontal="right" vertical="center"/>
    </xf>
    <xf numFmtId="0" fontId="7" fillId="0" borderId="42" xfId="4" applyBorder="1" applyAlignment="1">
      <alignment horizontal="left" vertical="center"/>
    </xf>
    <xf numFmtId="0" fontId="3" fillId="0" borderId="43" xfId="4" applyFont="1" applyBorder="1" applyAlignment="1">
      <alignment vertical="center"/>
    </xf>
    <xf numFmtId="0" fontId="3" fillId="0" borderId="46" xfId="4" applyFont="1" applyBorder="1" applyAlignment="1">
      <alignment vertical="center"/>
    </xf>
    <xf numFmtId="0" fontId="7" fillId="0" borderId="46" xfId="4" applyBorder="1" applyAlignment="1">
      <alignment vertical="center"/>
    </xf>
    <xf numFmtId="0" fontId="10" fillId="0" borderId="0" xfId="4" applyFont="1" applyAlignment="1">
      <alignment vertical="center"/>
    </xf>
    <xf numFmtId="0" fontId="7" fillId="0" borderId="0" xfId="4" applyAlignment="1">
      <alignment horizontal="right" vertical="center"/>
    </xf>
    <xf numFmtId="0" fontId="32" fillId="0" borderId="50" xfId="4" applyFont="1" applyBorder="1" applyAlignment="1">
      <alignment horizontal="center" vertical="center" wrapText="1"/>
    </xf>
    <xf numFmtId="0" fontId="5" fillId="0" borderId="48" xfId="4" applyFont="1" applyBorder="1" applyAlignment="1">
      <alignment horizontal="center" vertical="center"/>
    </xf>
    <xf numFmtId="49" fontId="5" fillId="0" borderId="48" xfId="4" applyNumberFormat="1" applyFont="1" applyBorder="1" applyAlignment="1">
      <alignment horizontal="left" vertical="center"/>
    </xf>
    <xf numFmtId="0" fontId="5" fillId="0" borderId="48" xfId="4" applyFont="1" applyBorder="1" applyAlignment="1">
      <alignment vertical="center"/>
    </xf>
    <xf numFmtId="0" fontId="7" fillId="0" borderId="48" xfId="4" applyBorder="1" applyAlignment="1">
      <alignment horizontal="center" vertical="center"/>
    </xf>
    <xf numFmtId="0" fontId="7" fillId="3" borderId="48" xfId="4" applyFill="1" applyBorder="1" applyAlignment="1">
      <alignment horizontal="right" vertical="center"/>
    </xf>
    <xf numFmtId="0" fontId="7" fillId="0" borderId="48" xfId="4" applyBorder="1" applyAlignment="1">
      <alignment horizontal="right" vertical="center"/>
    </xf>
    <xf numFmtId="166" fontId="7" fillId="0" borderId="48" xfId="3" applyNumberFormat="1" applyFont="1" applyBorder="1" applyAlignment="1">
      <alignment vertical="center"/>
    </xf>
    <xf numFmtId="4" fontId="8" fillId="0" borderId="48" xfId="4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8" fillId="0" borderId="48" xfId="4" applyFont="1" applyBorder="1" applyAlignment="1">
      <alignment vertical="center" wrapText="1"/>
    </xf>
    <xf numFmtId="49" fontId="8" fillId="0" borderId="48" xfId="4" applyNumberFormat="1" applyFont="1" applyBorder="1" applyAlignment="1">
      <alignment horizontal="center" vertical="center" shrinkToFit="1"/>
    </xf>
    <xf numFmtId="4" fontId="24" fillId="3" borderId="48" xfId="4" applyNumberFormat="1" applyFont="1" applyFill="1" applyBorder="1" applyAlignment="1">
      <alignment horizontal="right" vertical="center"/>
    </xf>
    <xf numFmtId="4" fontId="8" fillId="3" borderId="48" xfId="4" applyNumberFormat="1" applyFont="1" applyFill="1" applyBorder="1" applyAlignment="1">
      <alignment horizontal="right" vertical="center"/>
    </xf>
    <xf numFmtId="166" fontId="8" fillId="0" borderId="48" xfId="5" applyNumberFormat="1" applyFont="1" applyFill="1" applyBorder="1" applyAlignment="1">
      <alignment vertical="center"/>
    </xf>
    <xf numFmtId="0" fontId="30" fillId="0" borderId="0" xfId="4" applyFont="1" applyAlignment="1">
      <alignment horizontal="center" vertical="center"/>
    </xf>
    <xf numFmtId="0" fontId="33" fillId="0" borderId="48" xfId="4" applyFont="1" applyBorder="1" applyAlignment="1">
      <alignment vertical="center" wrapText="1"/>
    </xf>
    <xf numFmtId="49" fontId="19" fillId="0" borderId="48" xfId="4" applyNumberFormat="1" applyFont="1" applyBorder="1" applyAlignment="1">
      <alignment horizontal="center" vertical="center" shrinkToFit="1"/>
    </xf>
    <xf numFmtId="4" fontId="33" fillId="3" borderId="48" xfId="4" applyNumberFormat="1" applyFont="1" applyFill="1" applyBorder="1" applyAlignment="1">
      <alignment horizontal="right" vertical="center"/>
    </xf>
    <xf numFmtId="0" fontId="7" fillId="0" borderId="0" xfId="4" applyAlignment="1">
      <alignment horizontal="center" vertical="center"/>
    </xf>
    <xf numFmtId="0" fontId="19" fillId="0" borderId="48" xfId="4" applyFont="1" applyBorder="1" applyAlignment="1">
      <alignment vertical="center" wrapText="1"/>
    </xf>
    <xf numFmtId="4" fontId="19" fillId="3" borderId="48" xfId="4" applyNumberFormat="1" applyFont="1" applyFill="1" applyBorder="1" applyAlignment="1">
      <alignment horizontal="right" vertical="center"/>
    </xf>
    <xf numFmtId="0" fontId="8" fillId="0" borderId="48" xfId="4" applyFont="1" applyBorder="1" applyAlignment="1">
      <alignment horizontal="center" vertical="center"/>
    </xf>
    <xf numFmtId="166" fontId="8" fillId="0" borderId="48" xfId="3" applyNumberFormat="1" applyFont="1" applyFill="1" applyBorder="1" applyAlignment="1">
      <alignment vertical="center"/>
    </xf>
    <xf numFmtId="166" fontId="31" fillId="0" borderId="0" xfId="2" applyNumberFormat="1" applyFont="1" applyAlignment="1">
      <alignment horizontal="center" vertical="center"/>
    </xf>
    <xf numFmtId="4" fontId="8" fillId="0" borderId="48" xfId="4" applyNumberFormat="1" applyFont="1" applyBorder="1" applyAlignment="1">
      <alignment horizontal="right" vertical="center"/>
    </xf>
    <xf numFmtId="4" fontId="8" fillId="0" borderId="48" xfId="4" applyNumberFormat="1" applyFont="1" applyBorder="1" applyAlignment="1">
      <alignment vertical="center"/>
    </xf>
    <xf numFmtId="0" fontId="8" fillId="3" borderId="48" xfId="4" applyFont="1" applyFill="1" applyBorder="1" applyAlignment="1">
      <alignment vertical="center" wrapText="1"/>
    </xf>
    <xf numFmtId="4" fontId="8" fillId="0" borderId="48" xfId="4" applyNumberFormat="1" applyFont="1" applyBorder="1" applyAlignment="1">
      <alignment horizontal="center" vertical="center"/>
    </xf>
    <xf numFmtId="49" fontId="8" fillId="3" borderId="48" xfId="4" applyNumberFormat="1" applyFont="1" applyFill="1" applyBorder="1" applyAlignment="1">
      <alignment horizontal="center" vertical="center"/>
    </xf>
    <xf numFmtId="0" fontId="7" fillId="3" borderId="51" xfId="4" applyFill="1" applyBorder="1" applyAlignment="1">
      <alignment horizontal="center" vertical="center"/>
    </xf>
    <xf numFmtId="0" fontId="3" fillId="3" borderId="51" xfId="4" applyFont="1" applyFill="1" applyBorder="1" applyAlignment="1">
      <alignment vertical="center"/>
    </xf>
    <xf numFmtId="4" fontId="7" fillId="3" borderId="51" xfId="4" applyNumberFormat="1" applyFill="1" applyBorder="1" applyAlignment="1">
      <alignment horizontal="right" vertical="center"/>
    </xf>
    <xf numFmtId="166" fontId="5" fillId="3" borderId="51" xfId="3" applyNumberFormat="1" applyFont="1" applyFill="1" applyBorder="1" applyAlignment="1">
      <alignment vertical="center"/>
    </xf>
    <xf numFmtId="166" fontId="7" fillId="0" borderId="48" xfId="5" applyNumberFormat="1" applyFont="1" applyBorder="1" applyAlignment="1">
      <alignment vertical="center"/>
    </xf>
    <xf numFmtId="0" fontId="27" fillId="0" borderId="48" xfId="2" applyBorder="1" applyAlignment="1">
      <alignment horizontal="center" vertical="center"/>
    </xf>
    <xf numFmtId="0" fontId="7" fillId="0" borderId="51" xfId="4" applyBorder="1" applyAlignment="1">
      <alignment horizontal="center" vertical="center"/>
    </xf>
    <xf numFmtId="0" fontId="3" fillId="0" borderId="51" xfId="4" applyFont="1" applyBorder="1" applyAlignment="1">
      <alignment vertical="center"/>
    </xf>
    <xf numFmtId="4" fontId="7" fillId="0" borderId="51" xfId="4" applyNumberFormat="1" applyBorder="1" applyAlignment="1">
      <alignment horizontal="right" vertical="center"/>
    </xf>
    <xf numFmtId="166" fontId="5" fillId="0" borderId="51" xfId="3" applyNumberFormat="1" applyFont="1" applyBorder="1" applyAlignment="1">
      <alignment vertical="center"/>
    </xf>
    <xf numFmtId="0" fontId="7" fillId="0" borderId="19" xfId="4" applyBorder="1" applyAlignment="1">
      <alignment horizontal="center" vertical="center"/>
    </xf>
    <xf numFmtId="166" fontId="31" fillId="0" borderId="0" xfId="2" applyNumberFormat="1" applyFont="1" applyAlignment="1">
      <alignment vertical="center"/>
    </xf>
    <xf numFmtId="0" fontId="24" fillId="0" borderId="48" xfId="4" applyFont="1" applyBorder="1" applyAlignment="1">
      <alignment vertical="center" wrapText="1"/>
    </xf>
    <xf numFmtId="49" fontId="3" fillId="0" borderId="51" xfId="4" applyNumberFormat="1" applyFont="1" applyBorder="1" applyAlignment="1">
      <alignment horizontal="left" vertical="center"/>
    </xf>
    <xf numFmtId="0" fontId="7" fillId="3" borderId="48" xfId="4" applyFill="1" applyBorder="1" applyAlignment="1">
      <alignment horizontal="center" vertical="center"/>
    </xf>
    <xf numFmtId="4" fontId="7" fillId="3" borderId="48" xfId="4" applyNumberFormat="1" applyFill="1" applyBorder="1" applyAlignment="1">
      <alignment horizontal="right" vertical="center"/>
    </xf>
    <xf numFmtId="166" fontId="5" fillId="3" borderId="48" xfId="3" applyNumberFormat="1" applyFont="1" applyFill="1" applyBorder="1" applyAlignment="1">
      <alignment vertical="center"/>
    </xf>
    <xf numFmtId="0" fontId="7" fillId="0" borderId="50" xfId="4" applyBorder="1" applyAlignment="1">
      <alignment horizontal="center" vertical="center"/>
    </xf>
    <xf numFmtId="49" fontId="3" fillId="0" borderId="50" xfId="4" applyNumberFormat="1" applyFont="1" applyBorder="1" applyAlignment="1">
      <alignment horizontal="left" vertical="center"/>
    </xf>
    <xf numFmtId="0" fontId="3" fillId="0" borderId="50" xfId="4" applyFont="1" applyBorder="1" applyAlignment="1">
      <alignment vertical="center"/>
    </xf>
    <xf numFmtId="4" fontId="7" fillId="3" borderId="50" xfId="4" applyNumberFormat="1" applyFill="1" applyBorder="1" applyAlignment="1">
      <alignment horizontal="right" vertical="center"/>
    </xf>
    <xf numFmtId="4" fontId="7" fillId="0" borderId="50" xfId="4" applyNumberFormat="1" applyBorder="1" applyAlignment="1">
      <alignment horizontal="right" vertical="center"/>
    </xf>
    <xf numFmtId="166" fontId="5" fillId="0" borderId="50" xfId="3" applyNumberFormat="1" applyFont="1" applyBorder="1" applyAlignment="1">
      <alignment vertical="center"/>
    </xf>
    <xf numFmtId="43" fontId="31" fillId="0" borderId="0" xfId="6" applyFont="1" applyAlignment="1">
      <alignment horizontal="center" vertical="center"/>
    </xf>
    <xf numFmtId="167" fontId="31" fillId="0" borderId="0" xfId="2" applyNumberFormat="1" applyFont="1" applyAlignment="1">
      <alignment horizontal="center" vertical="center"/>
    </xf>
    <xf numFmtId="168" fontId="31" fillId="0" borderId="0" xfId="2" applyNumberFormat="1" applyFont="1" applyAlignment="1">
      <alignment horizontal="center" vertical="center"/>
    </xf>
    <xf numFmtId="4" fontId="31" fillId="0" borderId="0" xfId="2" applyNumberFormat="1" applyFont="1" applyAlignment="1">
      <alignment horizontal="center" vertical="center"/>
    </xf>
    <xf numFmtId="169" fontId="31" fillId="0" borderId="0" xfId="2" applyNumberFormat="1" applyFont="1" applyAlignment="1">
      <alignment horizontal="center" vertical="center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0" fillId="0" borderId="54" xfId="0" applyBorder="1"/>
    <xf numFmtId="0" fontId="0" fillId="0" borderId="50" xfId="0" applyBorder="1"/>
    <xf numFmtId="0" fontId="9" fillId="0" borderId="40" xfId="1" applyBorder="1" applyAlignment="1">
      <alignment horizontal="center"/>
    </xf>
    <xf numFmtId="0" fontId="9" fillId="0" borderId="41" xfId="1" applyBorder="1" applyAlignment="1">
      <alignment horizontal="center"/>
    </xf>
    <xf numFmtId="0" fontId="9" fillId="0" borderId="44" xfId="1" applyBorder="1" applyAlignment="1">
      <alignment horizontal="center"/>
    </xf>
    <xf numFmtId="0" fontId="9" fillId="0" borderId="45" xfId="1" applyBorder="1" applyAlignment="1">
      <alignment horizontal="center"/>
    </xf>
    <xf numFmtId="0" fontId="11" fillId="0" borderId="25" xfId="0" applyFont="1" applyBorder="1"/>
    <xf numFmtId="0" fontId="11" fillId="0" borderId="26" xfId="0" applyFont="1" applyBorder="1"/>
    <xf numFmtId="0" fontId="11" fillId="0" borderId="27" xfId="0" applyFont="1" applyBorder="1"/>
    <xf numFmtId="0" fontId="12" fillId="0" borderId="0" xfId="1" applyFont="1" applyAlignment="1">
      <alignment horizontal="center"/>
    </xf>
    <xf numFmtId="49" fontId="9" fillId="0" borderId="44" xfId="1" applyNumberFormat="1" applyBorder="1" applyAlignment="1">
      <alignment horizontal="center"/>
    </xf>
    <xf numFmtId="0" fontId="9" fillId="0" borderId="46" xfId="1" applyBorder="1" applyAlignment="1">
      <alignment horizontal="center" shrinkToFit="1"/>
    </xf>
    <xf numFmtId="0" fontId="9" fillId="0" borderId="47" xfId="1" applyBorder="1" applyAlignment="1">
      <alignment horizontal="center" shrinkToFit="1"/>
    </xf>
    <xf numFmtId="0" fontId="12" fillId="0" borderId="0" xfId="4" applyFont="1" applyAlignment="1">
      <alignment horizontal="left" vertical="center"/>
    </xf>
    <xf numFmtId="0" fontId="7" fillId="0" borderId="40" xfId="4" applyBorder="1" applyAlignment="1">
      <alignment horizontal="center" vertical="center"/>
    </xf>
    <xf numFmtId="0" fontId="7" fillId="0" borderId="41" xfId="4" applyBorder="1" applyAlignment="1">
      <alignment horizontal="center" vertical="center"/>
    </xf>
    <xf numFmtId="49" fontId="7" fillId="0" borderId="44" xfId="4" applyNumberFormat="1" applyBorder="1" applyAlignment="1">
      <alignment horizontal="center" vertical="center"/>
    </xf>
    <xf numFmtId="0" fontId="7" fillId="0" borderId="45" xfId="4" applyBorder="1" applyAlignment="1">
      <alignment horizontal="center" vertical="center"/>
    </xf>
    <xf numFmtId="0" fontId="7" fillId="0" borderId="46" xfId="4" applyBorder="1" applyAlignment="1">
      <alignment horizontal="center" vertical="center" shrinkToFit="1"/>
    </xf>
    <xf numFmtId="0" fontId="7" fillId="0" borderId="47" xfId="4" applyBorder="1" applyAlignment="1">
      <alignment horizontal="center" vertical="center" shrinkToFit="1"/>
    </xf>
    <xf numFmtId="0" fontId="12" fillId="0" borderId="0" xfId="4" applyFont="1" applyAlignment="1">
      <alignment horizontal="left" vertical="top"/>
    </xf>
    <xf numFmtId="0" fontId="7" fillId="0" borderId="40" xfId="4" applyBorder="1" applyAlignment="1">
      <alignment horizontal="center"/>
    </xf>
    <xf numFmtId="0" fontId="7" fillId="0" borderId="41" xfId="4" applyBorder="1" applyAlignment="1">
      <alignment horizontal="center"/>
    </xf>
    <xf numFmtId="49" fontId="7" fillId="0" borderId="44" xfId="4" applyNumberFormat="1" applyBorder="1" applyAlignment="1">
      <alignment horizontal="center"/>
    </xf>
    <xf numFmtId="0" fontId="7" fillId="0" borderId="45" xfId="4" applyBorder="1" applyAlignment="1">
      <alignment horizontal="center"/>
    </xf>
    <xf numFmtId="0" fontId="7" fillId="0" borderId="46" xfId="4" applyBorder="1" applyAlignment="1">
      <alignment horizontal="center" shrinkToFit="1"/>
    </xf>
    <xf numFmtId="0" fontId="7" fillId="0" borderId="47" xfId="4" applyBorder="1" applyAlignment="1">
      <alignment horizontal="center" shrinkToFit="1"/>
    </xf>
  </cellXfs>
  <cellStyles count="7">
    <cellStyle name="Čárka 2" xfId="6" xr:uid="{BE0AA9E2-C4F8-4AD9-95E2-58E2C0FA9082}"/>
    <cellStyle name="Měna 2" xfId="3" xr:uid="{9754C559-C276-44A8-9B45-9632E3A60AB5}"/>
    <cellStyle name="Měna 2 2" xfId="5" xr:uid="{134337BB-A904-4759-9200-D2CFC901CDF2}"/>
    <cellStyle name="Normální" xfId="0" builtinId="0"/>
    <cellStyle name="Normální 2" xfId="2" xr:uid="{3C25A8BF-CB0D-45E5-81BA-8396E8736183}"/>
    <cellStyle name="normální_POL.XLS" xfId="1" xr:uid="{00000000-0005-0000-0000-000001000000}"/>
    <cellStyle name="normální_POL.XLS 2" xfId="4" xr:uid="{0EFA31CE-F5C9-4109-AAF5-371CC2435485}"/>
  </cellStyles>
  <dxfs count="0"/>
  <tableStyles count="0" defaultTableStyle="TableStyleMedium2" defaultPivotStyle="PivotStyleLight16"/>
  <colors>
    <mruColors>
      <color rgb="FF3333CC"/>
      <color rgb="FF0066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6</xdr:row>
      <xdr:rowOff>131445</xdr:rowOff>
    </xdr:to>
    <xdr:sp macro="" textlink="">
      <xdr:nvSpPr>
        <xdr:cNvPr id="2050" name="AutoShape 2" descr="Filozofická fakulta Univerzity Karlovy">
          <a:extLst>
            <a:ext uri="{FF2B5EF4-FFF2-40B4-BE49-F238E27FC236}">
              <a16:creationId xmlns:a16="http://schemas.microsoft.com/office/drawing/2014/main" id="{04E2FA67-0662-245D-618D-8FE769F4E2C2}"/>
            </a:ext>
          </a:extLst>
        </xdr:cNvPr>
        <xdr:cNvSpPr>
          <a:spLocks noChangeAspect="1" noChangeArrowheads="1"/>
        </xdr:cNvSpPr>
      </xdr:nvSpPr>
      <xdr:spPr bwMode="auto">
        <a:xfrm>
          <a:off x="9363075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11</xdr:row>
      <xdr:rowOff>0</xdr:rowOff>
    </xdr:from>
    <xdr:to>
      <xdr:col>8</xdr:col>
      <xdr:colOff>304800</xdr:colOff>
      <xdr:row>11</xdr:row>
      <xdr:rowOff>304800</xdr:rowOff>
    </xdr:to>
    <xdr:sp macro="" textlink="">
      <xdr:nvSpPr>
        <xdr:cNvPr id="2051" name="AutoShape 3" descr="Filozofická fakulta Univerzity Karlovy">
          <a:extLst>
            <a:ext uri="{FF2B5EF4-FFF2-40B4-BE49-F238E27FC236}">
              <a16:creationId xmlns:a16="http://schemas.microsoft.com/office/drawing/2014/main" id="{7F760892-5B93-BBA7-FDF7-DFD85B66E8F0}"/>
            </a:ext>
          </a:extLst>
        </xdr:cNvPr>
        <xdr:cNvSpPr>
          <a:spLocks noChangeAspect="1" noChangeArrowheads="1"/>
        </xdr:cNvSpPr>
      </xdr:nvSpPr>
      <xdr:spPr bwMode="auto">
        <a:xfrm>
          <a:off x="9972675" y="192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5</xdr:row>
      <xdr:rowOff>131445</xdr:rowOff>
    </xdr:to>
    <xdr:sp macro="" textlink="">
      <xdr:nvSpPr>
        <xdr:cNvPr id="2053" name="AutoShape 5" descr="Filozofická fakulta Univerzity Karlovy">
          <a:extLst>
            <a:ext uri="{FF2B5EF4-FFF2-40B4-BE49-F238E27FC236}">
              <a16:creationId xmlns:a16="http://schemas.microsoft.com/office/drawing/2014/main" id="{00654ACE-9A81-BF44-977B-72D59CBA5107}"/>
            </a:ext>
          </a:extLst>
        </xdr:cNvPr>
        <xdr:cNvSpPr>
          <a:spLocks noChangeAspect="1" noChangeArrowheads="1"/>
        </xdr:cNvSpPr>
      </xdr:nvSpPr>
      <xdr:spPr bwMode="auto">
        <a:xfrm>
          <a:off x="10582275" y="790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76200</xdr:colOff>
      <xdr:row>2</xdr:row>
      <xdr:rowOff>0</xdr:rowOff>
    </xdr:from>
    <xdr:to>
      <xdr:col>6</xdr:col>
      <xdr:colOff>783908</xdr:colOff>
      <xdr:row>4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5CE2CFC-728C-EDE2-F8D5-F2A6BA16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466725"/>
          <a:ext cx="1919288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oddeleni\P&#344;&#205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oddeleni/P&#344;&#205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%20UK-FF-OSBI-Infra%20na%20Filozofick&#233;%20fakult&#283;-stavebn&#237;%20pr&#225;ce\REALIZACE\1.%20OBJEDNATEL\4.%20FAKTURACE\2408\FF_UK_SPP__2408_II_kolo%20rev%20FF%20UK.xlsx" TargetMode="External"/><Relationship Id="rId1" Type="http://schemas.openxmlformats.org/officeDocument/2006/relationships/externalLinkPath" Target="/P&#345;&#237;prava/Zelenkov/&#269;.%20771%20-%20UK-FF-OSBI-Infra%20na%20Filozofick&#233;%20fakult&#283;-stavebn&#237;%20pr&#225;ce/REALIZACE/1.%20OBJEDNATEL/4.%20FAKTURACE/2408/FF_UK_SPP__2408_II_kolo%20rev%20FF%20UK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3.%20ROZPO&#268;ET\SMLUVN&#205;\1.%20CELKOV&#221;%20V&#221;KAZ%20V&#221;M&#282;R_stavba-AVERS-18.4.2024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3.%20ROZPO&#268;ET/SMLUVN&#205;/1.%20CELKOV&#221;%20V&#221;KAZ%20V&#221;M&#282;R_stavba-AVERS-18.4.2024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%20UK-FF-OSBI-Infra%20na%20Filozofick&#233;%20fakult&#283;-stavebn&#237;%20pr&#225;ce\REALIZACE\1.%20OBJEDNATEL\2.%20ZM&#282;NOV&#201;%20LISTY\ZL%20&#268;.%203\Final\ZL%20&#269;.3%20FF%20UK%20rev.%207%2013.02.25.xlsx" TargetMode="External"/><Relationship Id="rId1" Type="http://schemas.openxmlformats.org/officeDocument/2006/relationships/externalLinkPath" Target="ZL%20&#269;.3%20FF%20UK%20rev.%207%2013.02.25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ZL%20&#269;.1%20FF%20UK%20rev.%203%20Zel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8.%20ZM&#282;NOV&#201;%20LISTY/ZL%20&#268;.1/k%20zasl&#225;n&#237;/ZL%20&#269;.1%20FF%20UK%20rev.%203%20Zel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P&#345;&#237;prava\Zelenkov\&#269;.%20771%20-UK-FF-OSBI-Infra%20na%20Filozofick&#233;%20fakult&#283;-stavebn&#237;%20pr&#225;ce\REALIZACE\8.%20ZM&#282;NOV&#201;%20LISTY\ZL%20&#268;.1\k%20zasl&#225;n&#237;\SILNO%20ZL%20&#269;.1.xlsx" TargetMode="External"/><Relationship Id="rId1" Type="http://schemas.openxmlformats.org/officeDocument/2006/relationships/externalLinkPath" Target="/P&#345;&#237;prava/Zelenkov/&#269;.%20771%20-UK-FF-OSBI-Infra%20na%20Filozofick&#233;%20fakult&#283;-stavebn&#237;%20pr&#225;ce/REALIZACE/8.%20ZM&#282;NOV&#201;%20LISTY/ZL%20&#268;.1/k%20zasl&#225;n&#237;/SILNO%20ZL%20&#269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A4"/>
          <cell r="C4" t="str">
            <v>FF UK OSIP PRAHA 1, NÁM. JANA PALACHA 2</v>
          </cell>
        </row>
        <row r="6">
          <cell r="A6"/>
          <cell r="C6" t="str">
            <v>REKONSTRUKCE PROSTOR PRO DOKTORANDSKÁ STUDIA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 SPP"/>
      <sheetName val="1.NP"/>
      <sheetName val="SIL - 1.NP"/>
      <sheetName val="SLA - 1.NP"/>
      <sheetName val="2.NP"/>
      <sheetName val="SIL - 2.NP"/>
      <sheetName val="SLA - 2.NP"/>
      <sheetName val="3.NP"/>
      <sheetName val="SIL - 3.NP"/>
      <sheetName val="SLA - 3.NP"/>
      <sheetName val="4.NP"/>
      <sheetName val="SIL - 4.NP blok 1"/>
      <sheetName val="SIL - 4.NP blok 2"/>
      <sheetName val="SIL - 4.NP blok 3"/>
      <sheetName val="SLA - 4.NP  blok 1"/>
      <sheetName val="SLA - 4.NP blok 2"/>
      <sheetName val="SLA - 4.NP blok 3"/>
      <sheetName val="5.NP"/>
      <sheetName val="5.NP ZL č.1"/>
      <sheetName val="SIL - 5.NP"/>
      <sheetName val="SLA - 5.NP"/>
      <sheetName val="Souhrn D + M"/>
      <sheetName val="Souhrn typ - k nacenění"/>
      <sheetName val="Souhrn atyp  k nacenění"/>
      <sheetName val="AV technika"/>
      <sheetName val="AKUSTIKA"/>
    </sheetNames>
    <sheetDataSet>
      <sheetData sheetId="0">
        <row r="5">
          <cell r="C5" t="str">
            <v>FF UK OSBI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1.NP"/>
      <sheetName val="2.NP"/>
      <sheetName val="3.NP"/>
      <sheetName val="4.NP"/>
      <sheetName val="5.NP"/>
    </sheetNames>
    <sheetDataSet>
      <sheetData sheetId="0">
        <row r="4">
          <cell r="C4" t="str">
            <v>FF UK OSIP PRAHA 1, NÁM. JANA PALACHA 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1.NP ZL č.3"/>
      <sheetName val="1.NP - AV tech Učebny ZL Č.3"/>
      <sheetName val="SIL - 1.NP ZL č.3"/>
      <sheetName val="Souhrn atyp ZL č.2 "/>
    </sheetNames>
    <sheetDataSet>
      <sheetData sheetId="0">
        <row r="25">
          <cell r="G25">
            <v>151691.36776200001</v>
          </cell>
        </row>
      </sheetData>
      <sheetData sheetId="1"/>
      <sheetData sheetId="2">
        <row r="33">
          <cell r="F33">
            <v>22796</v>
          </cell>
        </row>
      </sheetData>
      <sheetData sheetId="3">
        <row r="24">
          <cell r="F24">
            <v>13703.56</v>
          </cell>
        </row>
      </sheetData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 (2)"/>
      <sheetName val="Rekapitulace"/>
      <sheetName val="5.NP"/>
      <sheetName val="5.NP - Učebny"/>
    </sheetNames>
    <sheetDataSet>
      <sheetData sheetId="0" refreshError="1"/>
      <sheetData sheetId="1" refreshError="1"/>
      <sheetData sheetId="2" refreshError="1"/>
      <sheetData sheetId="3">
        <row r="17">
          <cell r="G17">
            <v>61581.35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L - 5.NP"/>
    </sheetNames>
    <sheetDataSet>
      <sheetData sheetId="0">
        <row r="58">
          <cell r="F58">
            <v>9025.6200000000026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AZ59"/>
  <sheetViews>
    <sheetView tabSelected="1" zoomScale="145" zoomScaleNormal="145" workbookViewId="0">
      <selection activeCell="N14" sqref="N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8.28515625" customWidth="1"/>
    <col min="7" max="7" width="15.42578125" customWidth="1"/>
    <col min="9" max="9" width="10.5703125" bestFit="1" customWidth="1"/>
  </cols>
  <sheetData>
    <row r="1" spans="1:52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2" ht="15" customHeight="1" thickBot="1" x14ac:dyDescent="0.25"/>
    <row r="3" spans="1:52" ht="12.95" customHeight="1" x14ac:dyDescent="0.2">
      <c r="A3" s="3" t="s">
        <v>1</v>
      </c>
      <c r="B3" s="4"/>
      <c r="C3" s="5" t="s">
        <v>2</v>
      </c>
      <c r="D3" s="5"/>
      <c r="E3" s="4"/>
      <c r="F3" s="176"/>
      <c r="G3" s="177"/>
    </row>
    <row r="4" spans="1:52" ht="12.95" customHeight="1" x14ac:dyDescent="0.2">
      <c r="A4" s="7"/>
      <c r="B4" s="8"/>
      <c r="C4" s="181" t="s">
        <v>3</v>
      </c>
      <c r="D4" s="182"/>
      <c r="E4" s="180"/>
      <c r="F4" s="179"/>
      <c r="G4" s="178"/>
    </row>
    <row r="5" spans="1:52" ht="12.95" customHeight="1" x14ac:dyDescent="0.2">
      <c r="A5" s="10" t="s">
        <v>4</v>
      </c>
      <c r="B5" s="11"/>
      <c r="C5" s="12" t="s">
        <v>5</v>
      </c>
      <c r="D5" s="12"/>
      <c r="E5" s="11"/>
      <c r="F5" s="179"/>
      <c r="G5" s="178"/>
    </row>
    <row r="6" spans="1:52" ht="12.95" customHeight="1" x14ac:dyDescent="0.2">
      <c r="A6" s="7"/>
      <c r="B6" s="8"/>
      <c r="C6" s="181" t="s">
        <v>6</v>
      </c>
      <c r="D6" s="182"/>
      <c r="E6" s="182"/>
      <c r="F6" s="122"/>
      <c r="G6" s="108"/>
    </row>
    <row r="7" spans="1:52" x14ac:dyDescent="0.2">
      <c r="A7" s="10" t="s">
        <v>7</v>
      </c>
      <c r="B7" s="12"/>
      <c r="C7" s="352"/>
      <c r="D7" s="353"/>
      <c r="E7" s="13" t="s">
        <v>8</v>
      </c>
      <c r="F7" s="12"/>
      <c r="G7" s="14"/>
    </row>
    <row r="8" spans="1:52" x14ac:dyDescent="0.2">
      <c r="A8" s="10" t="s">
        <v>9</v>
      </c>
      <c r="B8" s="12"/>
      <c r="C8" s="352"/>
      <c r="D8" s="353"/>
      <c r="E8" s="13" t="s">
        <v>10</v>
      </c>
      <c r="F8" s="12"/>
      <c r="G8" s="15"/>
    </row>
    <row r="9" spans="1:52" x14ac:dyDescent="0.2">
      <c r="A9" s="16" t="s">
        <v>11</v>
      </c>
      <c r="B9" s="17"/>
      <c r="C9" s="17"/>
      <c r="D9" s="17"/>
      <c r="E9" s="18" t="s">
        <v>12</v>
      </c>
      <c r="F9" s="17"/>
      <c r="G9" s="19"/>
    </row>
    <row r="10" spans="1:52" x14ac:dyDescent="0.2">
      <c r="A10" s="20" t="s">
        <v>13</v>
      </c>
      <c r="E10" s="21" t="s">
        <v>14</v>
      </c>
      <c r="G10" s="9"/>
      <c r="AV10" s="22"/>
      <c r="AW10" s="22"/>
      <c r="AX10" s="22"/>
      <c r="AY10" s="22"/>
      <c r="AZ10" s="22"/>
    </row>
    <row r="11" spans="1:52" x14ac:dyDescent="0.2">
      <c r="A11" s="20"/>
      <c r="E11" s="354"/>
      <c r="F11" s="355"/>
      <c r="G11" s="356"/>
    </row>
    <row r="12" spans="1:52" ht="28.5" customHeight="1" thickBot="1" x14ac:dyDescent="0.25">
      <c r="A12" s="23" t="s">
        <v>15</v>
      </c>
      <c r="B12" s="24"/>
      <c r="C12" s="24"/>
      <c r="D12" s="24"/>
      <c r="E12" s="25"/>
      <c r="F12" s="25"/>
      <c r="G12" s="26"/>
    </row>
    <row r="13" spans="1:52" ht="17.25" customHeight="1" thickBot="1" x14ac:dyDescent="0.25">
      <c r="A13" s="27" t="s">
        <v>16</v>
      </c>
      <c r="B13" s="28"/>
      <c r="C13" s="29"/>
      <c r="D13" s="30" t="s">
        <v>17</v>
      </c>
      <c r="E13" s="31"/>
      <c r="F13" s="31"/>
      <c r="G13" s="29"/>
    </row>
    <row r="14" spans="1:52" ht="15.95" customHeight="1" x14ac:dyDescent="0.2">
      <c r="A14" s="358" t="s">
        <v>18</v>
      </c>
      <c r="B14" s="359"/>
      <c r="C14" s="33">
        <f>Rekapitulace!E8</f>
        <v>2205145.30736</v>
      </c>
      <c r="D14" s="34" t="str">
        <f>Rekapitulace!A24</f>
        <v>Vedlejší náklady</v>
      </c>
      <c r="E14" s="35"/>
      <c r="F14" s="36"/>
      <c r="G14" s="33">
        <f>Rekapitulace!G24</f>
        <v>867563.06390348403</v>
      </c>
    </row>
    <row r="15" spans="1:52" ht="15.95" customHeight="1" x14ac:dyDescent="0.2">
      <c r="A15" s="360" t="s">
        <v>740</v>
      </c>
      <c r="B15" s="361"/>
      <c r="C15" s="33">
        <f>'1.NP ZL č.3'!G55</f>
        <v>145159.20360000001</v>
      </c>
      <c r="D15" s="16"/>
      <c r="E15" s="37"/>
      <c r="F15" s="38"/>
      <c r="G15" s="33"/>
    </row>
    <row r="16" spans="1:52" ht="15.95" customHeight="1" x14ac:dyDescent="0.2">
      <c r="A16" s="360" t="s">
        <v>19</v>
      </c>
      <c r="B16" s="361"/>
      <c r="C16" s="33">
        <f>Rekapitulace!E10</f>
        <v>2800900.1132199997</v>
      </c>
      <c r="D16" s="16"/>
      <c r="E16" s="37"/>
      <c r="F16" s="38"/>
      <c r="G16" s="33"/>
    </row>
    <row r="17" spans="1:9" ht="15.95" customHeight="1" x14ac:dyDescent="0.2">
      <c r="A17" s="360" t="s">
        <v>20</v>
      </c>
      <c r="B17" s="361"/>
      <c r="C17" s="33">
        <f>Rekapitulace!E11</f>
        <v>2821994.2831799998</v>
      </c>
      <c r="D17" s="16"/>
      <c r="E17" s="37"/>
      <c r="F17" s="38"/>
      <c r="G17" s="33"/>
    </row>
    <row r="18" spans="1:9" ht="15.95" customHeight="1" x14ac:dyDescent="0.2">
      <c r="A18" s="280" t="s">
        <v>708</v>
      </c>
      <c r="B18" s="32"/>
      <c r="C18" s="33">
        <f>Rekapitulace!E12</f>
        <v>6526.2499999999991</v>
      </c>
      <c r="D18" s="16"/>
      <c r="E18" s="37"/>
      <c r="F18" s="38"/>
      <c r="G18" s="33"/>
    </row>
    <row r="19" spans="1:9" ht="15.95" customHeight="1" x14ac:dyDescent="0.2">
      <c r="A19" s="360" t="s">
        <v>21</v>
      </c>
      <c r="B19" s="361"/>
      <c r="C19" s="33">
        <f>Rekapitulace!E13</f>
        <v>6201438.6550199995</v>
      </c>
      <c r="D19" s="16"/>
      <c r="E19" s="37"/>
      <c r="F19" s="38"/>
      <c r="G19" s="33"/>
    </row>
    <row r="20" spans="1:9" ht="15.95" customHeight="1" x14ac:dyDescent="0.2">
      <c r="A20" s="280" t="s">
        <v>709</v>
      </c>
      <c r="B20" s="32"/>
      <c r="C20" s="33">
        <f>Rekapitulace!E14</f>
        <v>26104.999999999996</v>
      </c>
      <c r="D20" s="16"/>
      <c r="E20" s="37"/>
      <c r="F20" s="38"/>
      <c r="G20" s="33"/>
    </row>
    <row r="21" spans="1:9" ht="15.95" customHeight="1" x14ac:dyDescent="0.2">
      <c r="A21" s="39" t="s">
        <v>22</v>
      </c>
      <c r="B21" s="32"/>
      <c r="C21" s="33">
        <f>Rekapitulace!E15</f>
        <v>4858202.9936400009</v>
      </c>
      <c r="D21" s="40"/>
      <c r="E21" s="37"/>
      <c r="F21" s="38"/>
      <c r="G21" s="33"/>
    </row>
    <row r="22" spans="1:9" ht="15.95" customHeight="1" x14ac:dyDescent="0.2">
      <c r="A22" s="39" t="s">
        <v>681</v>
      </c>
      <c r="B22" s="32"/>
      <c r="C22" s="33">
        <f>Rekapitulace!E16</f>
        <v>72872.311835200002</v>
      </c>
      <c r="D22" s="16"/>
      <c r="E22" s="37"/>
      <c r="F22" s="38"/>
      <c r="G22" s="33"/>
    </row>
    <row r="23" spans="1:9" ht="15.95" customHeight="1" x14ac:dyDescent="0.2">
      <c r="A23" s="280" t="s">
        <v>707</v>
      </c>
      <c r="B23" s="32"/>
      <c r="C23" s="33">
        <f>Rekapitulace!E17</f>
        <v>140835.07999999999</v>
      </c>
      <c r="D23" s="16"/>
      <c r="E23" s="37"/>
      <c r="F23" s="38"/>
      <c r="G23" s="33"/>
    </row>
    <row r="24" spans="1:9" ht="15.95" customHeight="1" x14ac:dyDescent="0.2">
      <c r="A24" s="39"/>
      <c r="B24" s="32"/>
      <c r="C24" s="33"/>
      <c r="D24" s="16"/>
      <c r="E24" s="37"/>
      <c r="F24" s="38"/>
      <c r="G24" s="33"/>
    </row>
    <row r="25" spans="1:9" ht="15.95" customHeight="1" x14ac:dyDescent="0.2">
      <c r="A25" s="20" t="s">
        <v>23</v>
      </c>
      <c r="C25" s="33">
        <f>SUM(C14:C23)</f>
        <v>19279179.197855201</v>
      </c>
      <c r="D25" s="16" t="s">
        <v>24</v>
      </c>
      <c r="E25" s="37"/>
      <c r="F25" s="38"/>
      <c r="G25" s="33">
        <v>0</v>
      </c>
      <c r="I25" s="22"/>
    </row>
    <row r="26" spans="1:9" ht="15.95" customHeight="1" thickBot="1" x14ac:dyDescent="0.25">
      <c r="A26" s="16" t="s">
        <v>25</v>
      </c>
      <c r="B26" s="17"/>
      <c r="C26" s="41">
        <f>C25+G26</f>
        <v>20146742.261758685</v>
      </c>
      <c r="D26" s="42" t="s">
        <v>26</v>
      </c>
      <c r="E26" s="43"/>
      <c r="F26" s="44"/>
      <c r="G26" s="33">
        <f>G14+G25</f>
        <v>867563.06390348403</v>
      </c>
    </row>
    <row r="27" spans="1:9" x14ac:dyDescent="0.2">
      <c r="A27" s="3" t="s">
        <v>27</v>
      </c>
      <c r="B27" s="5"/>
      <c r="C27" s="45" t="s">
        <v>28</v>
      </c>
      <c r="D27" s="5"/>
      <c r="E27" s="45" t="s">
        <v>29</v>
      </c>
      <c r="F27" s="5"/>
      <c r="G27" s="6"/>
    </row>
    <row r="28" spans="1:9" x14ac:dyDescent="0.2">
      <c r="A28" s="10"/>
      <c r="B28" s="12"/>
      <c r="C28" s="13" t="s">
        <v>30</v>
      </c>
      <c r="D28" s="12"/>
      <c r="E28" s="13" t="s">
        <v>30</v>
      </c>
      <c r="F28" s="12"/>
      <c r="G28" s="14"/>
    </row>
    <row r="29" spans="1:9" x14ac:dyDescent="0.2">
      <c r="A29" s="20" t="s">
        <v>31</v>
      </c>
      <c r="B29" s="183"/>
      <c r="C29" s="21" t="s">
        <v>31</v>
      </c>
      <c r="E29" s="21" t="s">
        <v>31</v>
      </c>
      <c r="G29" s="9"/>
    </row>
    <row r="30" spans="1:9" x14ac:dyDescent="0.2">
      <c r="A30" s="20"/>
      <c r="B30" s="184"/>
      <c r="C30" s="21" t="s">
        <v>32</v>
      </c>
      <c r="E30" s="21" t="s">
        <v>33</v>
      </c>
      <c r="G30" s="9"/>
    </row>
    <row r="31" spans="1:9" x14ac:dyDescent="0.2">
      <c r="A31" s="20"/>
      <c r="C31" s="21"/>
      <c r="E31" s="21"/>
      <c r="G31" s="9"/>
    </row>
    <row r="32" spans="1:9" ht="97.5" customHeight="1" x14ac:dyDescent="0.2">
      <c r="A32" s="20"/>
      <c r="C32" s="21"/>
      <c r="E32" s="21"/>
      <c r="G32" s="9"/>
    </row>
    <row r="33" spans="1:8" x14ac:dyDescent="0.2">
      <c r="A33" s="10" t="s">
        <v>34</v>
      </c>
      <c r="B33" s="12"/>
      <c r="C33" s="46">
        <v>0</v>
      </c>
      <c r="D33" s="12" t="s">
        <v>35</v>
      </c>
      <c r="E33" s="13"/>
      <c r="F33" s="47">
        <f>C26</f>
        <v>20146742.261758685</v>
      </c>
      <c r="G33" s="14"/>
    </row>
    <row r="34" spans="1:8" x14ac:dyDescent="0.2">
      <c r="A34" s="10" t="s">
        <v>34</v>
      </c>
      <c r="B34" s="12"/>
      <c r="C34" s="46">
        <v>15</v>
      </c>
      <c r="D34" s="12" t="s">
        <v>35</v>
      </c>
      <c r="E34" s="13"/>
      <c r="F34" s="47">
        <v>0</v>
      </c>
      <c r="G34" s="14"/>
    </row>
    <row r="35" spans="1:8" x14ac:dyDescent="0.2">
      <c r="A35" s="10" t="s">
        <v>36</v>
      </c>
      <c r="B35" s="12"/>
      <c r="C35" s="46">
        <v>15</v>
      </c>
      <c r="D35" s="12" t="s">
        <v>35</v>
      </c>
      <c r="E35" s="13"/>
      <c r="F35" s="185">
        <f>ROUND(PRODUCT(F34,C35/100),1)</f>
        <v>0</v>
      </c>
      <c r="G35" s="19"/>
    </row>
    <row r="36" spans="1:8" x14ac:dyDescent="0.2">
      <c r="A36" s="10" t="s">
        <v>34</v>
      </c>
      <c r="B36" s="12"/>
      <c r="C36" s="46">
        <v>21</v>
      </c>
      <c r="D36" s="12" t="s">
        <v>35</v>
      </c>
      <c r="E36" s="13"/>
      <c r="F36" s="47">
        <f>C26</f>
        <v>20146742.261758685</v>
      </c>
      <c r="G36" s="14"/>
    </row>
    <row r="37" spans="1:8" x14ac:dyDescent="0.2">
      <c r="A37" s="10" t="s">
        <v>36</v>
      </c>
      <c r="B37" s="12"/>
      <c r="C37" s="46">
        <v>21</v>
      </c>
      <c r="D37" s="12" t="s">
        <v>35</v>
      </c>
      <c r="E37" s="13"/>
      <c r="F37" s="185">
        <f>ROUND(PRODUCT(F36,C37/100),1)</f>
        <v>4230815.9000000004</v>
      </c>
      <c r="G37" s="19"/>
    </row>
    <row r="38" spans="1:8" s="53" customFormat="1" ht="19.5" customHeight="1" thickBot="1" x14ac:dyDescent="0.3">
      <c r="A38" s="48" t="s">
        <v>37</v>
      </c>
      <c r="B38" s="49"/>
      <c r="C38" s="49"/>
      <c r="D38" s="49"/>
      <c r="E38" s="50"/>
      <c r="F38" s="51">
        <f>F36+F37</f>
        <v>24377558.161758684</v>
      </c>
      <c r="G38" s="52"/>
    </row>
    <row r="40" spans="1:8" x14ac:dyDescent="0.2">
      <c r="A40" t="s">
        <v>38</v>
      </c>
      <c r="H40" t="s">
        <v>39</v>
      </c>
    </row>
    <row r="41" spans="1:8" ht="14.25" customHeight="1" x14ac:dyDescent="0.2">
      <c r="B41" s="357"/>
      <c r="C41" s="357"/>
      <c r="D41" s="357"/>
      <c r="E41" s="357"/>
      <c r="F41" s="357"/>
      <c r="G41" s="357"/>
      <c r="H41" t="s">
        <v>39</v>
      </c>
    </row>
    <row r="42" spans="1:8" ht="12.75" customHeight="1" x14ac:dyDescent="0.2">
      <c r="A42" s="54"/>
      <c r="B42" s="357"/>
      <c r="C42" s="357"/>
      <c r="D42" s="357"/>
      <c r="E42" s="357"/>
      <c r="F42" s="357"/>
      <c r="G42" s="357"/>
      <c r="H42" t="s">
        <v>39</v>
      </c>
    </row>
    <row r="43" spans="1:8" x14ac:dyDescent="0.2">
      <c r="A43" s="54"/>
      <c r="B43" s="357"/>
      <c r="C43" s="357"/>
      <c r="D43" s="357"/>
      <c r="E43" s="357"/>
      <c r="F43" s="357"/>
      <c r="G43" s="357"/>
      <c r="H43" t="s">
        <v>39</v>
      </c>
    </row>
    <row r="44" spans="1:8" x14ac:dyDescent="0.2">
      <c r="A44" s="54"/>
      <c r="B44" s="357"/>
      <c r="C44" s="357"/>
      <c r="D44" s="357"/>
      <c r="E44" s="357"/>
      <c r="F44" s="357"/>
      <c r="G44" s="357"/>
      <c r="H44" t="s">
        <v>39</v>
      </c>
    </row>
    <row r="45" spans="1:8" x14ac:dyDescent="0.2">
      <c r="A45" s="54"/>
      <c r="B45" s="357"/>
      <c r="C45" s="357"/>
      <c r="D45" s="357"/>
      <c r="E45" s="357"/>
      <c r="F45" s="357"/>
      <c r="G45" s="357"/>
      <c r="H45" t="s">
        <v>39</v>
      </c>
    </row>
    <row r="46" spans="1:8" x14ac:dyDescent="0.2">
      <c r="A46" s="54"/>
      <c r="B46" s="357"/>
      <c r="C46" s="357"/>
      <c r="D46" s="357"/>
      <c r="E46" s="357"/>
      <c r="F46" s="357"/>
      <c r="G46" s="357"/>
      <c r="H46" t="s">
        <v>39</v>
      </c>
    </row>
    <row r="47" spans="1:8" x14ac:dyDescent="0.2">
      <c r="A47" s="54"/>
      <c r="B47" s="357"/>
      <c r="C47" s="357"/>
      <c r="D47" s="357"/>
      <c r="E47" s="357"/>
      <c r="F47" s="357"/>
      <c r="G47" s="357"/>
      <c r="H47" t="s">
        <v>39</v>
      </c>
    </row>
    <row r="48" spans="1:8" x14ac:dyDescent="0.2">
      <c r="A48" s="54"/>
      <c r="B48" s="357"/>
      <c r="C48" s="357"/>
      <c r="D48" s="357"/>
      <c r="E48" s="357"/>
      <c r="F48" s="357"/>
      <c r="G48" s="357"/>
      <c r="H48" t="s">
        <v>39</v>
      </c>
    </row>
    <row r="49" spans="1:8" ht="3" customHeight="1" x14ac:dyDescent="0.2">
      <c r="A49" s="54"/>
      <c r="B49" s="357"/>
      <c r="C49" s="357"/>
      <c r="D49" s="357"/>
      <c r="E49" s="357"/>
      <c r="F49" s="357"/>
      <c r="G49" s="357"/>
      <c r="H49" t="s">
        <v>39</v>
      </c>
    </row>
    <row r="50" spans="1:8" x14ac:dyDescent="0.2">
      <c r="B50" s="351"/>
      <c r="C50" s="351"/>
      <c r="D50" s="351"/>
      <c r="E50" s="351"/>
      <c r="F50" s="351"/>
      <c r="G50" s="351"/>
    </row>
    <row r="51" spans="1:8" x14ac:dyDescent="0.2">
      <c r="B51" s="351"/>
      <c r="C51" s="351"/>
      <c r="D51" s="351"/>
      <c r="E51" s="351"/>
      <c r="F51" s="351"/>
      <c r="G51" s="351"/>
    </row>
    <row r="52" spans="1:8" x14ac:dyDescent="0.2">
      <c r="B52" s="351"/>
      <c r="C52" s="351"/>
      <c r="D52" s="351"/>
      <c r="E52" s="351"/>
      <c r="F52" s="351"/>
      <c r="G52" s="351"/>
    </row>
    <row r="53" spans="1:8" x14ac:dyDescent="0.2">
      <c r="B53" s="351"/>
      <c r="C53" s="351"/>
      <c r="D53" s="351"/>
      <c r="E53" s="351"/>
      <c r="F53" s="351"/>
      <c r="G53" s="351"/>
    </row>
    <row r="54" spans="1:8" x14ac:dyDescent="0.2">
      <c r="B54" s="351"/>
      <c r="C54" s="351"/>
      <c r="D54" s="351"/>
      <c r="E54" s="351"/>
      <c r="F54" s="351"/>
      <c r="G54" s="351"/>
    </row>
    <row r="55" spans="1:8" x14ac:dyDescent="0.2">
      <c r="B55" s="351"/>
      <c r="C55" s="351"/>
      <c r="D55" s="351"/>
      <c r="E55" s="351"/>
      <c r="F55" s="351"/>
      <c r="G55" s="351"/>
    </row>
    <row r="56" spans="1:8" x14ac:dyDescent="0.2">
      <c r="B56" s="351"/>
      <c r="C56" s="351"/>
      <c r="D56" s="351"/>
      <c r="E56" s="351"/>
      <c r="F56" s="351"/>
      <c r="G56" s="351"/>
    </row>
    <row r="57" spans="1:8" x14ac:dyDescent="0.2">
      <c r="B57" s="351"/>
      <c r="C57" s="351"/>
      <c r="D57" s="351"/>
      <c r="E57" s="351"/>
      <c r="F57" s="351"/>
      <c r="G57" s="351"/>
    </row>
    <row r="58" spans="1:8" x14ac:dyDescent="0.2">
      <c r="B58" s="351"/>
      <c r="C58" s="351"/>
      <c r="D58" s="351"/>
      <c r="E58" s="351"/>
      <c r="F58" s="351"/>
      <c r="G58" s="351"/>
    </row>
    <row r="59" spans="1:8" x14ac:dyDescent="0.2">
      <c r="B59" s="351"/>
      <c r="C59" s="351"/>
      <c r="D59" s="351"/>
      <c r="E59" s="351"/>
      <c r="F59" s="351"/>
      <c r="G59" s="351"/>
    </row>
  </sheetData>
  <mergeCells count="19">
    <mergeCell ref="B51:G51"/>
    <mergeCell ref="C7:D7"/>
    <mergeCell ref="C8:D8"/>
    <mergeCell ref="E11:G11"/>
    <mergeCell ref="B41:G49"/>
    <mergeCell ref="B50:G50"/>
    <mergeCell ref="A14:B14"/>
    <mergeCell ref="A16:B16"/>
    <mergeCell ref="A17:B17"/>
    <mergeCell ref="A19:B19"/>
    <mergeCell ref="A15:B15"/>
    <mergeCell ref="B58:G58"/>
    <mergeCell ref="B59:G59"/>
    <mergeCell ref="B52:G52"/>
    <mergeCell ref="B53:G53"/>
    <mergeCell ref="B54:G54"/>
    <mergeCell ref="B55:G55"/>
    <mergeCell ref="B56:G56"/>
    <mergeCell ref="B57:G57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10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69" t="s">
        <v>50</v>
      </c>
      <c r="B1" s="369"/>
      <c r="C1" s="369"/>
      <c r="D1" s="369"/>
      <c r="E1" s="369"/>
      <c r="F1" s="369"/>
      <c r="G1" s="369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362" t="s">
        <v>4</v>
      </c>
      <c r="B3" s="363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22</v>
      </c>
    </row>
    <row r="4" spans="1:10" ht="13.5" thickBot="1" x14ac:dyDescent="0.25">
      <c r="A4" s="370" t="s">
        <v>1</v>
      </c>
      <c r="B4" s="365"/>
      <c r="C4" s="58" t="str">
        <f>CONCATENATE(cisloobjektu," ",nazevobjektu)</f>
        <v xml:space="preserve"> FF UK OSIP PRAHA 1, NÁM. JANA PALACHA 2</v>
      </c>
      <c r="D4" s="59"/>
      <c r="E4" s="371"/>
      <c r="F4" s="371"/>
      <c r="G4" s="372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SUM(E9:E17)</f>
        <v>18</v>
      </c>
      <c r="F8" s="109">
        <v>1150</v>
      </c>
      <c r="G8" s="150">
        <f t="shared" ref="G8" si="0">E8*F8</f>
        <v>20700</v>
      </c>
      <c r="H8" s="136"/>
      <c r="I8" s="114"/>
      <c r="J8" s="111"/>
    </row>
    <row r="9" spans="1:10" x14ac:dyDescent="0.2">
      <c r="A9" s="149"/>
      <c r="B9" s="120"/>
      <c r="C9" s="151" t="s">
        <v>506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">
      <c r="A10" s="149"/>
      <c r="B10" s="120"/>
      <c r="C10" s="151" t="s">
        <v>507</v>
      </c>
      <c r="D10" s="152"/>
      <c r="E10" s="126">
        <f t="shared" ref="E10:E17" si="1">2*1*1</f>
        <v>2</v>
      </c>
      <c r="F10" s="109"/>
      <c r="G10" s="150"/>
      <c r="H10" s="136"/>
      <c r="I10" s="114"/>
      <c r="J10" s="111"/>
    </row>
    <row r="11" spans="1:10" x14ac:dyDescent="0.2">
      <c r="A11" s="149"/>
      <c r="B11" s="120"/>
      <c r="C11" s="151" t="s">
        <v>508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">
      <c r="A12" s="149"/>
      <c r="B12" s="120"/>
      <c r="C12" s="151" t="s">
        <v>509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">
      <c r="A13" s="149"/>
      <c r="B13" s="120"/>
      <c r="C13" s="151" t="s">
        <v>510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">
      <c r="A14" s="149"/>
      <c r="B14" s="120"/>
      <c r="C14" s="151" t="s">
        <v>511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">
      <c r="A15" s="149"/>
      <c r="B15" s="120"/>
      <c r="C15" s="151" t="s">
        <v>512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x14ac:dyDescent="0.2">
      <c r="A16" s="149"/>
      <c r="B16" s="120"/>
      <c r="C16" s="151" t="s">
        <v>513</v>
      </c>
      <c r="D16" s="152"/>
      <c r="E16" s="126">
        <f t="shared" si="1"/>
        <v>2</v>
      </c>
      <c r="F16" s="109"/>
      <c r="G16" s="150"/>
      <c r="H16" s="136"/>
      <c r="I16" s="114"/>
      <c r="J16" s="111"/>
    </row>
    <row r="17" spans="1:10" x14ac:dyDescent="0.2">
      <c r="A17" s="149"/>
      <c r="B17" s="120"/>
      <c r="C17" s="151" t="s">
        <v>514</v>
      </c>
      <c r="D17" s="152"/>
      <c r="E17" s="126">
        <f t="shared" si="1"/>
        <v>2</v>
      </c>
      <c r="F17" s="109"/>
      <c r="G17" s="150"/>
      <c r="H17" s="136"/>
      <c r="I17" s="114"/>
      <c r="J17" s="111"/>
    </row>
    <row r="18" spans="1:10" x14ac:dyDescent="0.2">
      <c r="A18" s="141"/>
      <c r="B18" s="121" t="s">
        <v>81</v>
      </c>
      <c r="C18" s="140" t="str">
        <f>CONCATENATE(B7," ",C7)</f>
        <v>4 Vodorovné konstukce</v>
      </c>
      <c r="D18" s="141"/>
      <c r="E18" s="118"/>
      <c r="F18" s="118"/>
      <c r="G18" s="153">
        <f>SUM(G7:G17)</f>
        <v>20700</v>
      </c>
      <c r="I18" s="114"/>
      <c r="J18" s="111"/>
    </row>
    <row r="19" spans="1:10" x14ac:dyDescent="0.2">
      <c r="A19" s="90" t="s">
        <v>58</v>
      </c>
      <c r="B19" s="119" t="s">
        <v>82</v>
      </c>
      <c r="C19" s="92" t="s">
        <v>83</v>
      </c>
      <c r="D19" s="93"/>
      <c r="E19" s="117"/>
      <c r="F19" s="94"/>
      <c r="G19" s="95"/>
      <c r="I19" s="112"/>
      <c r="J19" s="111"/>
    </row>
    <row r="20" spans="1:10" x14ac:dyDescent="0.2">
      <c r="A20" s="96">
        <v>2</v>
      </c>
      <c r="B20" s="120" t="s">
        <v>84</v>
      </c>
      <c r="C20" s="98" t="s">
        <v>85</v>
      </c>
      <c r="D20" s="99" t="s">
        <v>86</v>
      </c>
      <c r="E20" s="109">
        <f>SUM(E21:E29)</f>
        <v>147.9</v>
      </c>
      <c r="F20" s="100">
        <v>95</v>
      </c>
      <c r="G20" s="101">
        <f t="shared" ref="G20:G50" si="2">E20*F20</f>
        <v>14050.5</v>
      </c>
      <c r="H20" s="136"/>
      <c r="I20" s="113"/>
      <c r="J20" s="111"/>
    </row>
    <row r="21" spans="1:10" x14ac:dyDescent="0.2">
      <c r="A21" s="96"/>
      <c r="B21" s="120"/>
      <c r="C21" s="124" t="s">
        <v>515</v>
      </c>
      <c r="D21" s="125"/>
      <c r="E21" s="126">
        <f>1.6+2*2+1.3+2.3*2</f>
        <v>11.5</v>
      </c>
      <c r="F21" s="100"/>
      <c r="G21" s="101"/>
      <c r="I21" s="113"/>
      <c r="J21" s="111"/>
    </row>
    <row r="22" spans="1:10" x14ac:dyDescent="0.2">
      <c r="A22" s="96"/>
      <c r="B22" s="120"/>
      <c r="C22" s="124" t="s">
        <v>516</v>
      </c>
      <c r="D22" s="125"/>
      <c r="E22" s="126">
        <f>1.6+2*2+0.8+2*2</f>
        <v>10.399999999999999</v>
      </c>
      <c r="F22" s="100"/>
      <c r="G22" s="101"/>
      <c r="I22" s="113"/>
      <c r="J22" s="111"/>
    </row>
    <row r="23" spans="1:10" x14ac:dyDescent="0.2">
      <c r="A23" s="96"/>
      <c r="B23" s="120"/>
      <c r="C23" s="124" t="s">
        <v>517</v>
      </c>
      <c r="D23" s="125"/>
      <c r="E23" s="126">
        <f>1.6+2*2+0.8+2*2+1.3*2+2.3*2*2</f>
        <v>22.199999999999996</v>
      </c>
      <c r="F23" s="100"/>
      <c r="G23" s="101"/>
      <c r="I23" s="113"/>
      <c r="J23" s="111"/>
    </row>
    <row r="24" spans="1:10" x14ac:dyDescent="0.2">
      <c r="A24" s="96"/>
      <c r="B24" s="120"/>
      <c r="C24" s="124" t="s">
        <v>518</v>
      </c>
      <c r="D24" s="125"/>
      <c r="E24" s="126">
        <f>1.6+2*2+1.3+2.3*2</f>
        <v>11.5</v>
      </c>
      <c r="F24" s="100"/>
      <c r="G24" s="101"/>
      <c r="I24" s="113"/>
      <c r="J24" s="111"/>
    </row>
    <row r="25" spans="1:10" x14ac:dyDescent="0.2">
      <c r="A25" s="96"/>
      <c r="B25" s="120"/>
      <c r="C25" s="124" t="s">
        <v>519</v>
      </c>
      <c r="D25" s="125"/>
      <c r="E25" s="126">
        <f>1.6*2+2*2*2+1.3*2+2.3*2*2</f>
        <v>23</v>
      </c>
      <c r="F25" s="100"/>
      <c r="G25" s="101"/>
      <c r="I25" s="113"/>
      <c r="J25" s="111"/>
    </row>
    <row r="26" spans="1:10" x14ac:dyDescent="0.2">
      <c r="A26" s="96"/>
      <c r="B26" s="120"/>
      <c r="C26" s="124" t="s">
        <v>520</v>
      </c>
      <c r="D26" s="125"/>
      <c r="E26" s="126">
        <f>1.6+2*2+1.3*2+2.3*2*2</f>
        <v>17.399999999999999</v>
      </c>
      <c r="F26" s="100"/>
      <c r="G26" s="101"/>
      <c r="I26" s="113"/>
      <c r="J26" s="111"/>
    </row>
    <row r="27" spans="1:10" x14ac:dyDescent="0.2">
      <c r="A27" s="96"/>
      <c r="B27" s="120"/>
      <c r="C27" s="124" t="s">
        <v>521</v>
      </c>
      <c r="D27" s="125"/>
      <c r="E27" s="126">
        <f>1.6+2*2+1.3+2.3*2</f>
        <v>11.5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522</v>
      </c>
      <c r="D28" s="125"/>
      <c r="E28" s="126">
        <f>1.6+2*2+1.3*2+2.3*2*2</f>
        <v>17.399999999999999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523</v>
      </c>
      <c r="D29" s="125"/>
      <c r="E29" s="126">
        <f>1.6*2+2*2*2+1.3*2+2.3*2*2</f>
        <v>23</v>
      </c>
      <c r="F29" s="100"/>
      <c r="G29" s="101"/>
      <c r="I29" s="113"/>
      <c r="J29" s="111"/>
    </row>
    <row r="30" spans="1:10" ht="22.5" x14ac:dyDescent="0.2">
      <c r="A30" s="96">
        <v>3</v>
      </c>
      <c r="B30" s="97" t="s">
        <v>91</v>
      </c>
      <c r="C30" s="98" t="s">
        <v>92</v>
      </c>
      <c r="D30" s="99" t="s">
        <v>63</v>
      </c>
      <c r="E30" s="109">
        <f>SUM(E31:E39)</f>
        <v>675.22</v>
      </c>
      <c r="F30" s="100">
        <v>260</v>
      </c>
      <c r="G30" s="101">
        <f t="shared" si="2"/>
        <v>175557.2</v>
      </c>
      <c r="H30" s="138"/>
      <c r="I30" s="113"/>
      <c r="J30" s="111"/>
    </row>
    <row r="31" spans="1:10" x14ac:dyDescent="0.2">
      <c r="A31" s="96"/>
      <c r="B31" s="97"/>
      <c r="C31" s="124" t="s">
        <v>524</v>
      </c>
      <c r="D31" s="125"/>
      <c r="E31" s="126">
        <f>(6.9+3.2)*2*3.3</f>
        <v>66.660000000000011</v>
      </c>
      <c r="F31" s="100"/>
      <c r="G31" s="101"/>
      <c r="H31" s="116"/>
      <c r="I31" s="113"/>
      <c r="J31" s="111"/>
    </row>
    <row r="32" spans="1:10" x14ac:dyDescent="0.2">
      <c r="A32" s="96"/>
      <c r="B32" s="97"/>
      <c r="C32" s="124" t="s">
        <v>525</v>
      </c>
      <c r="D32" s="125"/>
      <c r="E32" s="126">
        <f>(6.9+4.6)*2*3.3</f>
        <v>75.899999999999991</v>
      </c>
      <c r="F32" s="100"/>
      <c r="G32" s="101"/>
      <c r="H32" s="116"/>
      <c r="I32" s="113"/>
      <c r="J32" s="111"/>
    </row>
    <row r="33" spans="1:10" x14ac:dyDescent="0.2">
      <c r="A33" s="96"/>
      <c r="B33" s="97"/>
      <c r="C33" s="124" t="s">
        <v>526</v>
      </c>
      <c r="D33" s="125"/>
      <c r="E33" s="126">
        <f>(6.9+2.8)*2*3.3</f>
        <v>64.02</v>
      </c>
      <c r="F33" s="100"/>
      <c r="G33" s="101"/>
      <c r="H33" s="116"/>
      <c r="I33" s="113"/>
      <c r="J33" s="111"/>
    </row>
    <row r="34" spans="1:10" x14ac:dyDescent="0.2">
      <c r="A34" s="96"/>
      <c r="B34" s="97"/>
      <c r="C34" s="124" t="s">
        <v>527</v>
      </c>
      <c r="D34" s="125"/>
      <c r="E34" s="126">
        <f>(6.9+2.7)*2*3.3</f>
        <v>63.360000000000007</v>
      </c>
      <c r="F34" s="100"/>
      <c r="G34" s="101"/>
      <c r="H34" s="116"/>
      <c r="I34" s="113"/>
      <c r="J34" s="111"/>
    </row>
    <row r="35" spans="1:10" x14ac:dyDescent="0.2">
      <c r="A35" s="96"/>
      <c r="B35" s="97"/>
      <c r="C35" s="124" t="s">
        <v>528</v>
      </c>
      <c r="D35" s="125"/>
      <c r="E35" s="126">
        <f>(6.9+8.5)*2*3.4</f>
        <v>104.72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529</v>
      </c>
      <c r="D36" s="125"/>
      <c r="E36" s="126">
        <f>(6.9+3.7)*2*3.4</f>
        <v>72.080000000000013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530</v>
      </c>
      <c r="D37" s="125"/>
      <c r="E37" s="126">
        <f>(6.9+3.7)*2*3.4</f>
        <v>72.080000000000013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531</v>
      </c>
      <c r="D38" s="125"/>
      <c r="E38" s="126">
        <f>(6.9+3.9)*2*3.4</f>
        <v>73.44</v>
      </c>
      <c r="F38" s="100"/>
      <c r="G38" s="101"/>
      <c r="H38" s="116"/>
      <c r="I38" s="113"/>
      <c r="J38" s="111"/>
    </row>
    <row r="39" spans="1:10" x14ac:dyDescent="0.2">
      <c r="A39" s="96"/>
      <c r="B39" s="97"/>
      <c r="C39" s="124" t="s">
        <v>532</v>
      </c>
      <c r="D39" s="125"/>
      <c r="E39" s="126">
        <f>(6.9+5.3)*2*3.4</f>
        <v>82.96</v>
      </c>
      <c r="F39" s="100"/>
      <c r="G39" s="101"/>
      <c r="H39" s="116"/>
      <c r="I39" s="113"/>
      <c r="J39" s="111"/>
    </row>
    <row r="40" spans="1:10" x14ac:dyDescent="0.2">
      <c r="A40" s="96">
        <v>4</v>
      </c>
      <c r="B40" s="120" t="s">
        <v>97</v>
      </c>
      <c r="C40" s="98" t="s">
        <v>98</v>
      </c>
      <c r="D40" s="99" t="s">
        <v>63</v>
      </c>
      <c r="E40" s="109">
        <f>SUM(E41:E49)</f>
        <v>34.879999999999995</v>
      </c>
      <c r="F40" s="100">
        <v>190</v>
      </c>
      <c r="G40" s="101">
        <f t="shared" ref="G40" si="3">E40*F40</f>
        <v>6627.1999999999989</v>
      </c>
      <c r="H40" s="138"/>
      <c r="I40" s="113"/>
      <c r="J40" s="111"/>
    </row>
    <row r="41" spans="1:10" x14ac:dyDescent="0.2">
      <c r="A41" s="96"/>
      <c r="B41" s="97"/>
      <c r="C41" s="124" t="s">
        <v>533</v>
      </c>
      <c r="D41" s="125"/>
      <c r="E41" s="126">
        <f>1.6*1.3</f>
        <v>2.08</v>
      </c>
      <c r="F41" s="100"/>
      <c r="G41" s="101"/>
      <c r="H41" s="116"/>
      <c r="I41" s="113"/>
      <c r="J41" s="111"/>
    </row>
    <row r="42" spans="1:10" x14ac:dyDescent="0.2">
      <c r="A42" s="96"/>
      <c r="B42" s="97"/>
      <c r="C42" s="124" t="s">
        <v>534</v>
      </c>
      <c r="D42" s="125"/>
      <c r="E42" s="126">
        <f>1.6*1.3</f>
        <v>2.08</v>
      </c>
      <c r="F42" s="100"/>
      <c r="G42" s="101"/>
      <c r="H42" s="116"/>
      <c r="I42" s="113"/>
      <c r="J42" s="111"/>
    </row>
    <row r="43" spans="1:10" x14ac:dyDescent="0.2">
      <c r="A43" s="96"/>
      <c r="B43" s="97"/>
      <c r="C43" s="124" t="s">
        <v>535</v>
      </c>
      <c r="D43" s="125"/>
      <c r="E43" s="126">
        <f>1.6*1.3+2*2</f>
        <v>6.08</v>
      </c>
      <c r="F43" s="100"/>
      <c r="G43" s="101"/>
      <c r="H43" s="116"/>
      <c r="I43" s="113"/>
      <c r="J43" s="111"/>
    </row>
    <row r="44" spans="1:10" x14ac:dyDescent="0.2">
      <c r="A44" s="96"/>
      <c r="B44" s="97"/>
      <c r="C44" s="124" t="s">
        <v>536</v>
      </c>
      <c r="D44" s="125"/>
      <c r="E44" s="126">
        <f>1.6*1.3</f>
        <v>2.08</v>
      </c>
      <c r="F44" s="100"/>
      <c r="G44" s="101"/>
      <c r="H44" s="116"/>
      <c r="I44" s="113"/>
      <c r="J44" s="111"/>
    </row>
    <row r="45" spans="1:10" x14ac:dyDescent="0.2">
      <c r="A45" s="96"/>
      <c r="B45" s="97"/>
      <c r="C45" s="124" t="s">
        <v>537</v>
      </c>
      <c r="D45" s="125"/>
      <c r="E45" s="126">
        <f>1.6*1.3*2+2*2</f>
        <v>8.16</v>
      </c>
      <c r="F45" s="100"/>
      <c r="G45" s="101"/>
      <c r="H45" s="116"/>
      <c r="I45" s="113"/>
      <c r="J45" s="111"/>
    </row>
    <row r="46" spans="1:10" x14ac:dyDescent="0.2">
      <c r="A46" s="96"/>
      <c r="B46" s="97"/>
      <c r="C46" s="124" t="s">
        <v>538</v>
      </c>
      <c r="D46" s="125"/>
      <c r="E46" s="126">
        <f>1.6*1.3</f>
        <v>2.08</v>
      </c>
      <c r="F46" s="100"/>
      <c r="G46" s="101"/>
      <c r="H46" s="116"/>
      <c r="I46" s="113"/>
      <c r="J46" s="111"/>
    </row>
    <row r="47" spans="1:10" x14ac:dyDescent="0.2">
      <c r="A47" s="96"/>
      <c r="B47" s="97"/>
      <c r="C47" s="124" t="s">
        <v>539</v>
      </c>
      <c r="D47" s="125"/>
      <c r="E47" s="126">
        <f>1.6*1.3</f>
        <v>2.08</v>
      </c>
      <c r="F47" s="100"/>
      <c r="G47" s="101"/>
      <c r="H47" s="116"/>
      <c r="I47" s="113"/>
      <c r="J47" s="111"/>
    </row>
    <row r="48" spans="1:10" x14ac:dyDescent="0.2">
      <c r="A48" s="96"/>
      <c r="B48" s="97"/>
      <c r="C48" s="124" t="s">
        <v>540</v>
      </c>
      <c r="D48" s="125"/>
      <c r="E48" s="126">
        <f>1.6*1.3</f>
        <v>2.08</v>
      </c>
      <c r="F48" s="100"/>
      <c r="G48" s="101"/>
      <c r="H48" s="116"/>
      <c r="I48" s="113"/>
      <c r="J48" s="111"/>
    </row>
    <row r="49" spans="1:10" x14ac:dyDescent="0.2">
      <c r="A49" s="96"/>
      <c r="B49" s="97"/>
      <c r="C49" s="124" t="s">
        <v>541</v>
      </c>
      <c r="D49" s="125"/>
      <c r="E49" s="126">
        <f>1.6*1.3*2+2*2</f>
        <v>8.16</v>
      </c>
      <c r="F49" s="100"/>
      <c r="G49" s="101"/>
      <c r="H49" s="116"/>
      <c r="I49" s="113"/>
      <c r="J49" s="111"/>
    </row>
    <row r="50" spans="1:10" x14ac:dyDescent="0.2">
      <c r="A50" s="96">
        <v>5</v>
      </c>
      <c r="B50" s="120" t="s">
        <v>105</v>
      </c>
      <c r="C50" s="98" t="s">
        <v>106</v>
      </c>
      <c r="D50" s="99" t="s">
        <v>63</v>
      </c>
      <c r="E50" s="109">
        <f>SUM(E51:E59)</f>
        <v>77.27</v>
      </c>
      <c r="F50" s="100">
        <v>15</v>
      </c>
      <c r="G50" s="101">
        <f t="shared" si="2"/>
        <v>1159.05</v>
      </c>
      <c r="I50" s="113"/>
      <c r="J50" s="111"/>
    </row>
    <row r="51" spans="1:10" x14ac:dyDescent="0.2">
      <c r="A51" s="96"/>
      <c r="B51" s="120"/>
      <c r="C51" s="124" t="s">
        <v>542</v>
      </c>
      <c r="D51" s="125"/>
      <c r="E51" s="126">
        <f>1.6*2+1.3*2.3</f>
        <v>6.1899999999999995</v>
      </c>
      <c r="F51" s="100"/>
      <c r="G51" s="101"/>
      <c r="I51" s="113"/>
      <c r="J51" s="111"/>
    </row>
    <row r="52" spans="1:10" x14ac:dyDescent="0.2">
      <c r="A52" s="96"/>
      <c r="B52" s="120"/>
      <c r="C52" s="124" t="s">
        <v>543</v>
      </c>
      <c r="D52" s="125"/>
      <c r="E52" s="126">
        <f>1.6*2+0.8*2</f>
        <v>4.8000000000000007</v>
      </c>
      <c r="F52" s="100"/>
      <c r="G52" s="101"/>
      <c r="I52" s="113"/>
      <c r="J52" s="111"/>
    </row>
    <row r="53" spans="1:10" x14ac:dyDescent="0.2">
      <c r="A53" s="96"/>
      <c r="B53" s="120"/>
      <c r="C53" s="124" t="s">
        <v>544</v>
      </c>
      <c r="D53" s="125"/>
      <c r="E53" s="126">
        <f>1.6*2+0.8*2+1.3*2.3*2</f>
        <v>10.780000000000001</v>
      </c>
      <c r="F53" s="100"/>
      <c r="G53" s="101"/>
      <c r="I53" s="113"/>
      <c r="J53" s="111"/>
    </row>
    <row r="54" spans="1:10" x14ac:dyDescent="0.2">
      <c r="A54" s="96"/>
      <c r="B54" s="120"/>
      <c r="C54" s="124" t="s">
        <v>545</v>
      </c>
      <c r="D54" s="125"/>
      <c r="E54" s="126">
        <f>1.6*2+1.3*2.3</f>
        <v>6.1899999999999995</v>
      </c>
      <c r="F54" s="100"/>
      <c r="G54" s="101"/>
      <c r="I54" s="113"/>
      <c r="J54" s="111"/>
    </row>
    <row r="55" spans="1:10" x14ac:dyDescent="0.2">
      <c r="A55" s="96"/>
      <c r="B55" s="120"/>
      <c r="C55" s="124" t="s">
        <v>546</v>
      </c>
      <c r="D55" s="125"/>
      <c r="E55" s="126">
        <f>1.6*2*2+1.3*2.3*2</f>
        <v>12.379999999999999</v>
      </c>
      <c r="F55" s="100"/>
      <c r="G55" s="101"/>
      <c r="I55" s="113"/>
      <c r="J55" s="111"/>
    </row>
    <row r="56" spans="1:10" x14ac:dyDescent="0.2">
      <c r="A56" s="96"/>
      <c r="B56" s="120"/>
      <c r="C56" s="124" t="s">
        <v>547</v>
      </c>
      <c r="D56" s="125"/>
      <c r="E56" s="126">
        <f>1.6*2+1.3*2.3*2</f>
        <v>9.18</v>
      </c>
      <c r="F56" s="100"/>
      <c r="G56" s="101"/>
      <c r="I56" s="113"/>
      <c r="J56" s="111"/>
    </row>
    <row r="57" spans="1:10" x14ac:dyDescent="0.2">
      <c r="A57" s="96"/>
      <c r="B57" s="120"/>
      <c r="C57" s="124" t="s">
        <v>548</v>
      </c>
      <c r="D57" s="125"/>
      <c r="E57" s="126">
        <f>1.6*2+1.3*2.3</f>
        <v>6.1899999999999995</v>
      </c>
      <c r="F57" s="100"/>
      <c r="G57" s="101"/>
      <c r="I57" s="113"/>
      <c r="J57" s="111"/>
    </row>
    <row r="58" spans="1:10" x14ac:dyDescent="0.2">
      <c r="A58" s="96"/>
      <c r="B58" s="120"/>
      <c r="C58" s="124" t="s">
        <v>549</v>
      </c>
      <c r="D58" s="125"/>
      <c r="E58" s="126">
        <f>1.6*2+1.3*2.3*2</f>
        <v>9.18</v>
      </c>
      <c r="F58" s="100"/>
      <c r="G58" s="101"/>
      <c r="I58" s="113"/>
      <c r="J58" s="111"/>
    </row>
    <row r="59" spans="1:10" x14ac:dyDescent="0.2">
      <c r="A59" s="96"/>
      <c r="B59" s="120"/>
      <c r="C59" s="124" t="s">
        <v>550</v>
      </c>
      <c r="D59" s="125"/>
      <c r="E59" s="126">
        <f>1.6*2*2+1.3*2.3*2</f>
        <v>12.379999999999999</v>
      </c>
      <c r="F59" s="100"/>
      <c r="G59" s="101"/>
      <c r="I59" s="113"/>
      <c r="J59" s="111"/>
    </row>
    <row r="60" spans="1:10" ht="22.5" x14ac:dyDescent="0.2">
      <c r="A60" s="96">
        <v>6</v>
      </c>
      <c r="B60" s="120" t="s">
        <v>105</v>
      </c>
      <c r="C60" s="98" t="s">
        <v>551</v>
      </c>
      <c r="D60" s="99" t="s">
        <v>63</v>
      </c>
      <c r="E60" s="109">
        <f>E61</f>
        <v>24.150000000000002</v>
      </c>
      <c r="F60" s="100">
        <v>1758</v>
      </c>
      <c r="G60" s="101">
        <f t="shared" ref="G60" si="4">E60*F60</f>
        <v>42455.700000000004</v>
      </c>
      <c r="I60" s="113"/>
      <c r="J60" s="111"/>
    </row>
    <row r="61" spans="1:10" x14ac:dyDescent="0.2">
      <c r="A61" s="96"/>
      <c r="B61" s="120"/>
      <c r="C61" s="124" t="s">
        <v>552</v>
      </c>
      <c r="D61" s="125"/>
      <c r="E61" s="126">
        <f>6.9*3.5</f>
        <v>24.150000000000002</v>
      </c>
      <c r="F61" s="100"/>
      <c r="G61" s="101"/>
      <c r="I61" s="113"/>
      <c r="J61" s="111"/>
    </row>
    <row r="62" spans="1:10" ht="22.5" x14ac:dyDescent="0.2">
      <c r="A62" s="96">
        <v>7</v>
      </c>
      <c r="B62" s="120" t="s">
        <v>105</v>
      </c>
      <c r="C62" s="98" t="s">
        <v>553</v>
      </c>
      <c r="D62" s="99" t="s">
        <v>63</v>
      </c>
      <c r="E62" s="109">
        <f>SUM(E63:E66)</f>
        <v>11.959999999999999</v>
      </c>
      <c r="F62" s="100">
        <v>1109</v>
      </c>
      <c r="G62" s="101">
        <f t="shared" ref="G62" si="5">E62*F62</f>
        <v>13263.64</v>
      </c>
      <c r="I62" s="113"/>
      <c r="J62" s="111"/>
    </row>
    <row r="63" spans="1:10" x14ac:dyDescent="0.2">
      <c r="A63" s="96"/>
      <c r="B63" s="120"/>
      <c r="C63" s="124" t="s">
        <v>554</v>
      </c>
      <c r="D63" s="125"/>
      <c r="E63" s="126">
        <f>1.3*2.3</f>
        <v>2.9899999999999998</v>
      </c>
      <c r="F63" s="100"/>
      <c r="G63" s="101"/>
      <c r="I63" s="113"/>
      <c r="J63" s="111"/>
    </row>
    <row r="64" spans="1:10" x14ac:dyDescent="0.2">
      <c r="A64" s="96"/>
      <c r="B64" s="120"/>
      <c r="C64" s="124" t="s">
        <v>555</v>
      </c>
      <c r="D64" s="125"/>
      <c r="E64" s="126">
        <f>1.3*2.3</f>
        <v>2.9899999999999998</v>
      </c>
      <c r="F64" s="100"/>
      <c r="G64" s="101"/>
      <c r="I64" s="113"/>
      <c r="J64" s="111"/>
    </row>
    <row r="65" spans="1:10" x14ac:dyDescent="0.2">
      <c r="A65" s="96"/>
      <c r="B65" s="120"/>
      <c r="C65" s="124" t="s">
        <v>556</v>
      </c>
      <c r="D65" s="125"/>
      <c r="E65" s="126">
        <f>1.3*2.3</f>
        <v>2.9899999999999998</v>
      </c>
      <c r="F65" s="100"/>
      <c r="G65" s="101"/>
      <c r="I65" s="113"/>
      <c r="J65" s="111"/>
    </row>
    <row r="66" spans="1:10" x14ac:dyDescent="0.2">
      <c r="A66" s="96"/>
      <c r="B66" s="120"/>
      <c r="C66" s="124" t="s">
        <v>556</v>
      </c>
      <c r="D66" s="125"/>
      <c r="E66" s="126">
        <f>1.3*2.3</f>
        <v>2.9899999999999998</v>
      </c>
      <c r="F66" s="100"/>
      <c r="G66" s="101"/>
      <c r="I66" s="113"/>
      <c r="J66" s="111"/>
    </row>
    <row r="67" spans="1:10" x14ac:dyDescent="0.2">
      <c r="A67" s="102"/>
      <c r="B67" s="121" t="s">
        <v>81</v>
      </c>
      <c r="C67" s="104" t="str">
        <f>CONCATENATE(B19," ",C19)</f>
        <v>61 Upravy povrchů vnitřní</v>
      </c>
      <c r="D67" s="102"/>
      <c r="E67" s="118"/>
      <c r="F67" s="105"/>
      <c r="G67" s="106">
        <f>SUM(G19:G66)</f>
        <v>253113.29000000004</v>
      </c>
      <c r="I67" s="114"/>
      <c r="J67" s="111"/>
    </row>
    <row r="68" spans="1:10" x14ac:dyDescent="0.2">
      <c r="A68" s="90" t="s">
        <v>58</v>
      </c>
      <c r="B68" s="119" t="s">
        <v>111</v>
      </c>
      <c r="C68" s="92" t="s">
        <v>112</v>
      </c>
      <c r="D68" s="93"/>
      <c r="E68" s="117"/>
      <c r="F68" s="94"/>
      <c r="G68" s="95"/>
      <c r="H68" s="115"/>
      <c r="I68" s="112"/>
      <c r="J68" s="111"/>
    </row>
    <row r="69" spans="1:10" ht="50.1" customHeight="1" x14ac:dyDescent="0.2">
      <c r="A69" s="96">
        <v>8</v>
      </c>
      <c r="B69" s="120" t="s">
        <v>113</v>
      </c>
      <c r="C69" s="107" t="s">
        <v>273</v>
      </c>
      <c r="D69" s="99" t="s">
        <v>76</v>
      </c>
      <c r="E69" s="109">
        <f>SUM(E70:E76)</f>
        <v>7</v>
      </c>
      <c r="F69" s="109">
        <v>35400</v>
      </c>
      <c r="G69" s="101">
        <f t="shared" ref="G69" si="6">E69*F69</f>
        <v>247800</v>
      </c>
      <c r="H69" s="115"/>
      <c r="I69" s="113"/>
      <c r="J69" s="111"/>
    </row>
    <row r="70" spans="1:10" ht="12.75" customHeight="1" x14ac:dyDescent="0.2">
      <c r="A70" s="96"/>
      <c r="B70" s="120"/>
      <c r="C70" s="124" t="s">
        <v>557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">
      <c r="A71" s="96"/>
      <c r="B71" s="120"/>
      <c r="C71" s="124" t="s">
        <v>558</v>
      </c>
      <c r="D71" s="125"/>
      <c r="E71" s="126">
        <v>1</v>
      </c>
      <c r="F71" s="109"/>
      <c r="G71" s="101"/>
      <c r="H71" s="115"/>
      <c r="I71" s="113"/>
      <c r="J71" s="111"/>
    </row>
    <row r="72" spans="1:10" ht="12.75" customHeight="1" x14ac:dyDescent="0.2">
      <c r="A72" s="96"/>
      <c r="B72" s="120"/>
      <c r="C72" s="124" t="s">
        <v>559</v>
      </c>
      <c r="D72" s="125"/>
      <c r="E72" s="126">
        <v>1</v>
      </c>
      <c r="F72" s="109"/>
      <c r="G72" s="101"/>
      <c r="H72" s="115"/>
      <c r="I72" s="113"/>
      <c r="J72" s="111"/>
    </row>
    <row r="73" spans="1:10" ht="12.75" customHeight="1" x14ac:dyDescent="0.2">
      <c r="A73" s="96"/>
      <c r="B73" s="120"/>
      <c r="C73" s="124" t="s">
        <v>560</v>
      </c>
      <c r="D73" s="125"/>
      <c r="E73" s="126">
        <v>1</v>
      </c>
      <c r="F73" s="109"/>
      <c r="G73" s="101"/>
      <c r="H73" s="115"/>
      <c r="I73" s="113"/>
      <c r="J73" s="111"/>
    </row>
    <row r="74" spans="1:10" ht="12.75" customHeight="1" x14ac:dyDescent="0.2">
      <c r="A74" s="96"/>
      <c r="B74" s="120"/>
      <c r="C74" s="124" t="s">
        <v>561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">
      <c r="A75" s="96"/>
      <c r="B75" s="120"/>
      <c r="C75" s="124" t="s">
        <v>562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">
      <c r="A76" s="96"/>
      <c r="B76" s="120"/>
      <c r="C76" s="124" t="s">
        <v>563</v>
      </c>
      <c r="D76" s="125"/>
      <c r="E76" s="126">
        <v>1</v>
      </c>
      <c r="F76" s="109"/>
      <c r="G76" s="101"/>
      <c r="H76" s="115"/>
      <c r="I76" s="113"/>
      <c r="J76" s="111"/>
    </row>
    <row r="77" spans="1:10" ht="23.25" customHeight="1" x14ac:dyDescent="0.2">
      <c r="A77" s="96">
        <v>9</v>
      </c>
      <c r="B77" s="120" t="s">
        <v>119</v>
      </c>
      <c r="C77" s="107" t="s">
        <v>277</v>
      </c>
      <c r="D77" s="99" t="s">
        <v>76</v>
      </c>
      <c r="E77" s="109">
        <f>SUM(E78:E80)</f>
        <v>2</v>
      </c>
      <c r="F77" s="109">
        <v>15000</v>
      </c>
      <c r="G77" s="101">
        <f t="shared" ref="G77" si="7">E77*F77</f>
        <v>30000</v>
      </c>
      <c r="H77" s="115"/>
      <c r="I77" s="113"/>
      <c r="J77" s="111"/>
    </row>
    <row r="78" spans="1:10" ht="12.75" customHeight="1" x14ac:dyDescent="0.2">
      <c r="A78" s="96"/>
      <c r="B78" s="120"/>
      <c r="C78" s="124" t="s">
        <v>559</v>
      </c>
      <c r="D78" s="125"/>
      <c r="E78" s="126">
        <v>1</v>
      </c>
      <c r="F78" s="109"/>
      <c r="G78" s="101"/>
      <c r="H78" s="115"/>
      <c r="I78" s="113"/>
      <c r="J78" s="111"/>
    </row>
    <row r="79" spans="1:10" ht="12.75" customHeight="1" x14ac:dyDescent="0.2">
      <c r="A79" s="96"/>
      <c r="B79" s="120"/>
      <c r="C79" s="124" t="s">
        <v>562</v>
      </c>
      <c r="D79" s="125"/>
      <c r="E79" s="126">
        <v>0</v>
      </c>
      <c r="F79" s="109"/>
      <c r="G79" s="101"/>
      <c r="H79" s="115"/>
      <c r="I79" s="113"/>
      <c r="J79" s="111"/>
    </row>
    <row r="80" spans="1:10" ht="12.75" customHeight="1" x14ac:dyDescent="0.2">
      <c r="A80" s="96"/>
      <c r="B80" s="120"/>
      <c r="C80" s="124" t="s">
        <v>563</v>
      </c>
      <c r="D80" s="125"/>
      <c r="E80" s="126">
        <v>1</v>
      </c>
      <c r="F80" s="109"/>
      <c r="G80" s="101"/>
      <c r="H80" s="115"/>
      <c r="I80" s="113"/>
      <c r="J80" s="111"/>
    </row>
    <row r="81" spans="1:14" ht="50.1" customHeight="1" x14ac:dyDescent="0.2">
      <c r="A81" s="96">
        <v>10</v>
      </c>
      <c r="B81" s="120" t="s">
        <v>121</v>
      </c>
      <c r="C81" s="107" t="s">
        <v>122</v>
      </c>
      <c r="D81" s="99" t="s">
        <v>76</v>
      </c>
      <c r="E81" s="109">
        <f>SUM(E82:E87)</f>
        <v>6</v>
      </c>
      <c r="F81" s="109">
        <v>30400</v>
      </c>
      <c r="G81" s="101">
        <f t="shared" ref="G81:G101" si="8">E81*F81</f>
        <v>182400</v>
      </c>
      <c r="H81" s="137"/>
      <c r="I81" s="113"/>
      <c r="J81" s="111"/>
    </row>
    <row r="82" spans="1:14" ht="12.75" customHeight="1" x14ac:dyDescent="0.2">
      <c r="A82" s="96"/>
      <c r="B82" s="120"/>
      <c r="C82" s="124" t="s">
        <v>558</v>
      </c>
      <c r="D82" s="125"/>
      <c r="E82" s="126">
        <v>1</v>
      </c>
      <c r="F82" s="109"/>
      <c r="G82" s="101"/>
      <c r="H82" s="147"/>
      <c r="I82" s="113"/>
      <c r="J82" s="111"/>
      <c r="K82" s="116"/>
      <c r="L82" s="116"/>
      <c r="M82" s="116"/>
      <c r="N82" s="116"/>
    </row>
    <row r="83" spans="1:14" ht="12.75" customHeight="1" x14ac:dyDescent="0.2">
      <c r="A83" s="96"/>
      <c r="B83" s="120"/>
      <c r="C83" s="124" t="s">
        <v>564</v>
      </c>
      <c r="D83" s="125"/>
      <c r="E83" s="126">
        <v>1</v>
      </c>
      <c r="F83" s="109"/>
      <c r="G83" s="101"/>
      <c r="H83" s="147"/>
      <c r="I83" s="113"/>
      <c r="J83" s="111"/>
      <c r="K83" s="116"/>
      <c r="L83" s="116"/>
      <c r="M83" s="116"/>
      <c r="N83" s="116"/>
    </row>
    <row r="84" spans="1:14" ht="12.75" customHeight="1" x14ac:dyDescent="0.2">
      <c r="A84" s="96"/>
      <c r="B84" s="120"/>
      <c r="C84" s="124" t="s">
        <v>559</v>
      </c>
      <c r="D84" s="125"/>
      <c r="E84" s="126">
        <v>1</v>
      </c>
      <c r="F84" s="109"/>
      <c r="G84" s="101"/>
      <c r="H84" s="147"/>
      <c r="I84" s="113"/>
      <c r="J84" s="111"/>
      <c r="K84" s="116"/>
      <c r="L84" s="116"/>
      <c r="M84" s="116"/>
      <c r="N84" s="116"/>
    </row>
    <row r="85" spans="1:14" ht="12.75" customHeight="1" x14ac:dyDescent="0.2">
      <c r="A85" s="96"/>
      <c r="B85" s="120"/>
      <c r="C85" s="124" t="s">
        <v>560</v>
      </c>
      <c r="D85" s="125"/>
      <c r="E85" s="126">
        <v>1</v>
      </c>
      <c r="F85" s="109"/>
      <c r="G85" s="101"/>
      <c r="H85" s="147"/>
      <c r="I85" s="113"/>
      <c r="J85" s="111"/>
      <c r="K85" s="116"/>
      <c r="L85" s="116"/>
      <c r="M85" s="116"/>
      <c r="N85" s="116"/>
    </row>
    <row r="86" spans="1:14" ht="12.75" customHeight="1" x14ac:dyDescent="0.2">
      <c r="A86" s="96"/>
      <c r="B86" s="120"/>
      <c r="C86" s="124" t="s">
        <v>562</v>
      </c>
      <c r="D86" s="125"/>
      <c r="E86" s="126">
        <v>1</v>
      </c>
      <c r="F86" s="109"/>
      <c r="G86" s="101"/>
      <c r="H86" s="147"/>
      <c r="I86" s="113"/>
      <c r="J86" s="111"/>
      <c r="K86" s="116"/>
      <c r="L86" s="116"/>
      <c r="M86" s="116"/>
      <c r="N86" s="116"/>
    </row>
    <row r="87" spans="1:14" ht="12.75" customHeight="1" x14ac:dyDescent="0.2">
      <c r="A87" s="96"/>
      <c r="B87" s="120"/>
      <c r="C87" s="124" t="s">
        <v>563</v>
      </c>
      <c r="D87" s="125"/>
      <c r="E87" s="126">
        <v>1</v>
      </c>
      <c r="F87" s="109"/>
      <c r="G87" s="101"/>
      <c r="H87" s="147"/>
      <c r="I87" s="113"/>
      <c r="J87" s="111"/>
      <c r="K87" s="116"/>
      <c r="L87" s="116"/>
      <c r="M87" s="116"/>
      <c r="N87" s="116"/>
    </row>
    <row r="88" spans="1:14" ht="47.25" customHeight="1" x14ac:dyDescent="0.2">
      <c r="A88" s="96">
        <v>11</v>
      </c>
      <c r="B88" s="120" t="s">
        <v>123</v>
      </c>
      <c r="C88" s="107" t="s">
        <v>352</v>
      </c>
      <c r="D88" s="99" t="s">
        <v>76</v>
      </c>
      <c r="E88" s="109">
        <f>SUM(E89:E90)</f>
        <v>2</v>
      </c>
      <c r="F88" s="109">
        <v>20700</v>
      </c>
      <c r="G88" s="101">
        <f t="shared" ref="G88" si="9">E88*F88</f>
        <v>41400</v>
      </c>
      <c r="I88" s="113"/>
      <c r="J88" s="111"/>
    </row>
    <row r="89" spans="1:14" ht="12.75" customHeight="1" x14ac:dyDescent="0.2">
      <c r="A89" s="96"/>
      <c r="B89" s="120"/>
      <c r="C89" s="124" t="s">
        <v>565</v>
      </c>
      <c r="D89" s="125"/>
      <c r="E89" s="126">
        <v>1</v>
      </c>
      <c r="F89" s="109"/>
      <c r="G89" s="101"/>
      <c r="I89" s="113"/>
      <c r="J89" s="111"/>
    </row>
    <row r="90" spans="1:14" ht="12.75" customHeight="1" x14ac:dyDescent="0.2">
      <c r="A90" s="96"/>
      <c r="B90" s="120"/>
      <c r="C90" s="124" t="s">
        <v>558</v>
      </c>
      <c r="D90" s="125"/>
      <c r="E90" s="126">
        <v>1</v>
      </c>
      <c r="F90" s="109"/>
      <c r="G90" s="101"/>
      <c r="I90" s="113"/>
      <c r="J90" s="111"/>
    </row>
    <row r="91" spans="1:14" ht="22.5" x14ac:dyDescent="0.2">
      <c r="A91" s="96">
        <v>12</v>
      </c>
      <c r="B91" s="120" t="s">
        <v>353</v>
      </c>
      <c r="C91" s="107" t="s">
        <v>124</v>
      </c>
      <c r="D91" s="99" t="s">
        <v>63</v>
      </c>
      <c r="E91" s="109">
        <f>SUM(E92:E100)</f>
        <v>48.069999999999993</v>
      </c>
      <c r="F91" s="109">
        <v>686</v>
      </c>
      <c r="G91" s="101">
        <f t="shared" si="8"/>
        <v>32976.019999999997</v>
      </c>
      <c r="H91" s="137"/>
      <c r="I91" s="113"/>
      <c r="J91" s="111"/>
    </row>
    <row r="92" spans="1:14" x14ac:dyDescent="0.2">
      <c r="A92" s="96"/>
      <c r="B92" s="120"/>
      <c r="C92" s="124" t="s">
        <v>566</v>
      </c>
      <c r="D92" s="125"/>
      <c r="E92" s="126">
        <f>1.9*2.3</f>
        <v>4.3699999999999992</v>
      </c>
      <c r="F92" s="109"/>
      <c r="G92" s="101"/>
      <c r="H92" s="115"/>
      <c r="I92" s="113"/>
      <c r="J92" s="111"/>
    </row>
    <row r="93" spans="1:14" x14ac:dyDescent="0.2">
      <c r="A93" s="96"/>
      <c r="B93" s="120"/>
      <c r="C93" s="124" t="s">
        <v>567</v>
      </c>
      <c r="D93" s="125"/>
      <c r="E93" s="126">
        <f>1.9*2.3</f>
        <v>4.3699999999999992</v>
      </c>
      <c r="F93" s="109"/>
      <c r="G93" s="101"/>
      <c r="H93" s="115"/>
      <c r="I93" s="113"/>
      <c r="J93" s="111"/>
    </row>
    <row r="94" spans="1:14" x14ac:dyDescent="0.2">
      <c r="A94" s="96"/>
      <c r="B94" s="120"/>
      <c r="C94" s="124" t="s">
        <v>568</v>
      </c>
      <c r="D94" s="125"/>
      <c r="E94" s="126">
        <f>1.9*2.3</f>
        <v>4.3699999999999992</v>
      </c>
      <c r="F94" s="109"/>
      <c r="G94" s="101"/>
      <c r="H94" s="115"/>
      <c r="I94" s="113"/>
      <c r="J94" s="111"/>
    </row>
    <row r="95" spans="1:14" x14ac:dyDescent="0.2">
      <c r="A95" s="96"/>
      <c r="B95" s="120"/>
      <c r="C95" s="124" t="s">
        <v>569</v>
      </c>
      <c r="D95" s="125"/>
      <c r="E95" s="126">
        <f>1.9*2.3</f>
        <v>4.3699999999999992</v>
      </c>
      <c r="F95" s="109"/>
      <c r="G95" s="101"/>
      <c r="H95" s="115"/>
      <c r="I95" s="113"/>
      <c r="J95" s="111"/>
    </row>
    <row r="96" spans="1:14" x14ac:dyDescent="0.2">
      <c r="A96" s="96"/>
      <c r="B96" s="120"/>
      <c r="C96" s="124" t="s">
        <v>570</v>
      </c>
      <c r="D96" s="125"/>
      <c r="E96" s="126">
        <f>1.9*2.3*2</f>
        <v>8.7399999999999984</v>
      </c>
      <c r="F96" s="109"/>
      <c r="G96" s="101"/>
      <c r="H96" s="115"/>
      <c r="I96" s="113"/>
      <c r="J96" s="111"/>
    </row>
    <row r="97" spans="1:10" x14ac:dyDescent="0.2">
      <c r="A97" s="96"/>
      <c r="B97" s="120"/>
      <c r="C97" s="124" t="s">
        <v>571</v>
      </c>
      <c r="D97" s="125"/>
      <c r="E97" s="126">
        <f>1.9*2.3</f>
        <v>4.3699999999999992</v>
      </c>
      <c r="F97" s="109"/>
      <c r="G97" s="101"/>
      <c r="H97" s="115"/>
      <c r="I97" s="113"/>
      <c r="J97" s="111"/>
    </row>
    <row r="98" spans="1:10" x14ac:dyDescent="0.2">
      <c r="A98" s="96"/>
      <c r="B98" s="120"/>
      <c r="C98" s="124" t="s">
        <v>572</v>
      </c>
      <c r="D98" s="125"/>
      <c r="E98" s="126">
        <f>1.9*2.3</f>
        <v>4.3699999999999992</v>
      </c>
      <c r="F98" s="109"/>
      <c r="G98" s="101"/>
      <c r="H98" s="115"/>
      <c r="I98" s="113"/>
      <c r="J98" s="111"/>
    </row>
    <row r="99" spans="1:10" x14ac:dyDescent="0.2">
      <c r="A99" s="96"/>
      <c r="B99" s="120"/>
      <c r="C99" s="124" t="s">
        <v>573</v>
      </c>
      <c r="D99" s="125"/>
      <c r="E99" s="126">
        <f>1.9*2.3</f>
        <v>4.3699999999999992</v>
      </c>
      <c r="F99" s="109"/>
      <c r="G99" s="101"/>
      <c r="H99" s="115"/>
      <c r="I99" s="113"/>
      <c r="J99" s="111"/>
    </row>
    <row r="100" spans="1:10" x14ac:dyDescent="0.2">
      <c r="A100" s="96"/>
      <c r="B100" s="120"/>
      <c r="C100" s="124" t="s">
        <v>574</v>
      </c>
      <c r="D100" s="125"/>
      <c r="E100" s="126">
        <f>1.9*2.3*2</f>
        <v>8.7399999999999984</v>
      </c>
      <c r="F100" s="109"/>
      <c r="G100" s="101"/>
      <c r="H100" s="115"/>
      <c r="I100" s="113"/>
      <c r="J100" s="111"/>
    </row>
    <row r="101" spans="1:10" ht="22.5" x14ac:dyDescent="0.2">
      <c r="A101" s="96">
        <v>12</v>
      </c>
      <c r="B101" s="120" t="s">
        <v>355</v>
      </c>
      <c r="C101" s="107" t="s">
        <v>281</v>
      </c>
      <c r="D101" s="99" t="s">
        <v>63</v>
      </c>
      <c r="E101" s="109">
        <f>SUM(E102:E105)</f>
        <v>31.5</v>
      </c>
      <c r="F101" s="109">
        <v>1658</v>
      </c>
      <c r="G101" s="101">
        <f t="shared" si="8"/>
        <v>52227</v>
      </c>
      <c r="H101" s="137"/>
      <c r="I101" s="113"/>
      <c r="J101" s="111"/>
    </row>
    <row r="102" spans="1:10" x14ac:dyDescent="0.2">
      <c r="A102" s="96"/>
      <c r="B102" s="120"/>
      <c r="C102" s="124" t="s">
        <v>575</v>
      </c>
      <c r="D102" s="125"/>
      <c r="E102" s="126">
        <f>2.1*2.5</f>
        <v>5.25</v>
      </c>
      <c r="F102" s="109"/>
      <c r="G102" s="101"/>
      <c r="H102" s="115"/>
      <c r="I102" s="113"/>
      <c r="J102" s="111"/>
    </row>
    <row r="103" spans="1:10" x14ac:dyDescent="0.2">
      <c r="A103" s="96"/>
      <c r="B103" s="120"/>
      <c r="C103" s="124" t="s">
        <v>576</v>
      </c>
      <c r="D103" s="125"/>
      <c r="E103" s="126">
        <f>2.1*2.5*2</f>
        <v>10.5</v>
      </c>
      <c r="F103" s="109"/>
      <c r="G103" s="101"/>
      <c r="H103" s="115"/>
      <c r="I103" s="113"/>
      <c r="J103" s="111"/>
    </row>
    <row r="104" spans="1:10" x14ac:dyDescent="0.2">
      <c r="A104" s="96"/>
      <c r="B104" s="120"/>
      <c r="C104" s="124" t="s">
        <v>577</v>
      </c>
      <c r="D104" s="125"/>
      <c r="E104" s="126">
        <f>2.1*2.5</f>
        <v>5.25</v>
      </c>
      <c r="F104" s="109"/>
      <c r="G104" s="101"/>
      <c r="H104" s="115"/>
      <c r="I104" s="113"/>
      <c r="J104" s="111"/>
    </row>
    <row r="105" spans="1:10" x14ac:dyDescent="0.2">
      <c r="A105" s="96"/>
      <c r="B105" s="120"/>
      <c r="C105" s="124" t="s">
        <v>578</v>
      </c>
      <c r="D105" s="125"/>
      <c r="E105" s="126">
        <f>2.1*2.5*2</f>
        <v>10.5</v>
      </c>
      <c r="F105" s="109"/>
      <c r="G105" s="101"/>
      <c r="H105" s="115"/>
      <c r="I105" s="113"/>
      <c r="J105" s="111"/>
    </row>
    <row r="106" spans="1:10" x14ac:dyDescent="0.2">
      <c r="A106" s="102"/>
      <c r="B106" s="121" t="s">
        <v>81</v>
      </c>
      <c r="C106" s="104" t="str">
        <f>CONCATENATE(B68," ",C68)</f>
        <v>64 Výplně otvorů</v>
      </c>
      <c r="D106" s="102"/>
      <c r="E106" s="118"/>
      <c r="F106" s="105"/>
      <c r="G106" s="106">
        <f>SUM(G68:G105)</f>
        <v>586803.02</v>
      </c>
      <c r="I106" s="114"/>
      <c r="J106" s="111"/>
    </row>
    <row r="107" spans="1:10" x14ac:dyDescent="0.2">
      <c r="A107" s="90" t="s">
        <v>58</v>
      </c>
      <c r="B107" s="119" t="s">
        <v>129</v>
      </c>
      <c r="C107" s="92" t="s">
        <v>130</v>
      </c>
      <c r="D107" s="93"/>
      <c r="E107" s="117"/>
      <c r="F107" s="94"/>
      <c r="G107" s="95"/>
      <c r="I107" s="112"/>
      <c r="J107" s="111"/>
    </row>
    <row r="108" spans="1:10" ht="12.75" customHeight="1" x14ac:dyDescent="0.2">
      <c r="A108" s="96">
        <v>13</v>
      </c>
      <c r="B108" s="120" t="s">
        <v>131</v>
      </c>
      <c r="C108" s="98" t="s">
        <v>132</v>
      </c>
      <c r="D108" s="99" t="s">
        <v>63</v>
      </c>
      <c r="E108" s="109">
        <f>SUM(E109:E117)</f>
        <v>264.96000000000004</v>
      </c>
      <c r="F108" s="100">
        <v>400</v>
      </c>
      <c r="G108" s="101">
        <f t="shared" ref="G108:G120" si="10">E108*F108</f>
        <v>105984.00000000001</v>
      </c>
      <c r="I108" s="113"/>
      <c r="J108" s="111"/>
    </row>
    <row r="109" spans="1:10" ht="12.75" customHeight="1" x14ac:dyDescent="0.2">
      <c r="A109" s="96"/>
      <c r="B109" s="120"/>
      <c r="C109" s="124" t="s">
        <v>579</v>
      </c>
      <c r="D109" s="125"/>
      <c r="E109" s="126">
        <f>6.9*3.2</f>
        <v>22.080000000000002</v>
      </c>
      <c r="F109" s="100"/>
      <c r="G109" s="101"/>
      <c r="I109" s="113"/>
      <c r="J109" s="111"/>
    </row>
    <row r="110" spans="1:10" ht="12.75" customHeight="1" x14ac:dyDescent="0.2">
      <c r="A110" s="96"/>
      <c r="B110" s="120"/>
      <c r="C110" s="124" t="s">
        <v>580</v>
      </c>
      <c r="D110" s="125"/>
      <c r="E110" s="126">
        <f>6.9*4.6</f>
        <v>31.74</v>
      </c>
      <c r="F110" s="100"/>
      <c r="G110" s="101"/>
      <c r="I110" s="113"/>
      <c r="J110" s="111"/>
    </row>
    <row r="111" spans="1:10" ht="12.75" customHeight="1" x14ac:dyDescent="0.2">
      <c r="A111" s="96"/>
      <c r="B111" s="120"/>
      <c r="C111" s="124" t="s">
        <v>581</v>
      </c>
      <c r="D111" s="125"/>
      <c r="E111" s="126">
        <f>6.9*2.8</f>
        <v>19.32</v>
      </c>
      <c r="F111" s="100"/>
      <c r="G111" s="101"/>
      <c r="I111" s="113"/>
      <c r="J111" s="111"/>
    </row>
    <row r="112" spans="1:10" ht="12.75" customHeight="1" x14ac:dyDescent="0.2">
      <c r="A112" s="96"/>
      <c r="B112" s="120"/>
      <c r="C112" s="124" t="s">
        <v>582</v>
      </c>
      <c r="D112" s="125"/>
      <c r="E112" s="126">
        <f>6.9*2.7</f>
        <v>18.630000000000003</v>
      </c>
      <c r="F112" s="100"/>
      <c r="G112" s="101"/>
      <c r="I112" s="113"/>
      <c r="J112" s="111"/>
    </row>
    <row r="113" spans="1:10" ht="12.75" customHeight="1" x14ac:dyDescent="0.2">
      <c r="A113" s="96"/>
      <c r="B113" s="120"/>
      <c r="C113" s="124" t="s">
        <v>583</v>
      </c>
      <c r="D113" s="125"/>
      <c r="E113" s="126">
        <f>6.9*8.5</f>
        <v>58.650000000000006</v>
      </c>
      <c r="F113" s="100"/>
      <c r="G113" s="101"/>
      <c r="I113" s="113"/>
      <c r="J113" s="111"/>
    </row>
    <row r="114" spans="1:10" ht="12.75" customHeight="1" x14ac:dyDescent="0.2">
      <c r="A114" s="96"/>
      <c r="B114" s="120"/>
      <c r="C114" s="124" t="s">
        <v>584</v>
      </c>
      <c r="D114" s="125"/>
      <c r="E114" s="126">
        <f>6.9*3.7</f>
        <v>25.53</v>
      </c>
      <c r="F114" s="100"/>
      <c r="G114" s="101"/>
      <c r="I114" s="113"/>
      <c r="J114" s="111"/>
    </row>
    <row r="115" spans="1:10" ht="12.75" customHeight="1" x14ac:dyDescent="0.2">
      <c r="A115" s="96"/>
      <c r="B115" s="120"/>
      <c r="C115" s="124" t="s">
        <v>585</v>
      </c>
      <c r="D115" s="125"/>
      <c r="E115" s="126">
        <f>6.9*3.7</f>
        <v>25.53</v>
      </c>
      <c r="F115" s="100"/>
      <c r="G115" s="101"/>
      <c r="I115" s="113"/>
      <c r="J115" s="111"/>
    </row>
    <row r="116" spans="1:10" ht="12.75" customHeight="1" x14ac:dyDescent="0.2">
      <c r="A116" s="96"/>
      <c r="B116" s="120"/>
      <c r="C116" s="124" t="s">
        <v>586</v>
      </c>
      <c r="D116" s="125"/>
      <c r="E116" s="126">
        <f>6.9*3.9</f>
        <v>26.91</v>
      </c>
      <c r="F116" s="100"/>
      <c r="G116" s="101"/>
      <c r="I116" s="113"/>
      <c r="J116" s="111"/>
    </row>
    <row r="117" spans="1:10" ht="12.75" customHeight="1" x14ac:dyDescent="0.2">
      <c r="A117" s="96"/>
      <c r="B117" s="120"/>
      <c r="C117" s="124" t="s">
        <v>587</v>
      </c>
      <c r="D117" s="125"/>
      <c r="E117" s="126">
        <f>6.9*5.3</f>
        <v>36.57</v>
      </c>
      <c r="F117" s="100"/>
      <c r="G117" s="101"/>
      <c r="I117" s="113"/>
      <c r="J117" s="111"/>
    </row>
    <row r="118" spans="1:10" ht="60" customHeight="1" x14ac:dyDescent="0.2">
      <c r="A118" s="96">
        <v>14</v>
      </c>
      <c r="B118" s="120" t="s">
        <v>133</v>
      </c>
      <c r="C118" s="98" t="s">
        <v>134</v>
      </c>
      <c r="D118" s="99" t="s">
        <v>135</v>
      </c>
      <c r="E118" s="109">
        <v>1</v>
      </c>
      <c r="F118" s="100">
        <v>138000</v>
      </c>
      <c r="G118" s="101">
        <f t="shared" ref="G118:G119" si="11">E118*F118</f>
        <v>138000</v>
      </c>
      <c r="I118" s="113"/>
      <c r="J118" s="111"/>
    </row>
    <row r="119" spans="1:10" ht="24.95" customHeight="1" x14ac:dyDescent="0.2">
      <c r="A119" s="96">
        <v>15</v>
      </c>
      <c r="B119" s="120" t="s">
        <v>136</v>
      </c>
      <c r="C119" s="98" t="s">
        <v>137</v>
      </c>
      <c r="D119" s="99" t="s">
        <v>135</v>
      </c>
      <c r="E119" s="109">
        <v>1</v>
      </c>
      <c r="F119" s="100">
        <v>239384.31000000003</v>
      </c>
      <c r="G119" s="101">
        <f t="shared" si="11"/>
        <v>239384.31000000003</v>
      </c>
      <c r="I119" s="113"/>
      <c r="J119" s="111"/>
    </row>
    <row r="120" spans="1:10" x14ac:dyDescent="0.2">
      <c r="A120" s="96">
        <v>16</v>
      </c>
      <c r="B120" s="120" t="s">
        <v>138</v>
      </c>
      <c r="C120" s="98" t="s">
        <v>139</v>
      </c>
      <c r="D120" s="99" t="s">
        <v>63</v>
      </c>
      <c r="E120" s="109">
        <f>E108</f>
        <v>264.96000000000004</v>
      </c>
      <c r="F120" s="100">
        <v>74</v>
      </c>
      <c r="G120" s="101">
        <f t="shared" si="10"/>
        <v>19607.04</v>
      </c>
      <c r="I120" s="113"/>
      <c r="J120" s="111"/>
    </row>
    <row r="121" spans="1:10" x14ac:dyDescent="0.2">
      <c r="A121" s="102"/>
      <c r="B121" s="121" t="s">
        <v>81</v>
      </c>
      <c r="C121" s="104" t="str">
        <f>CONCATENATE(B107," ",C107)</f>
        <v>9 Ostatní konstrukce a práce</v>
      </c>
      <c r="D121" s="102"/>
      <c r="E121" s="118"/>
      <c r="F121" s="105"/>
      <c r="G121" s="106">
        <f>SUM(G107:G120)</f>
        <v>502975.35000000003</v>
      </c>
      <c r="I121" s="114"/>
      <c r="J121" s="111"/>
    </row>
    <row r="122" spans="1:10" x14ac:dyDescent="0.2">
      <c r="A122" s="90" t="s">
        <v>58</v>
      </c>
      <c r="B122" s="119" t="s">
        <v>140</v>
      </c>
      <c r="C122" s="92" t="s">
        <v>141</v>
      </c>
      <c r="D122" s="93"/>
      <c r="E122" s="117"/>
      <c r="F122" s="94"/>
      <c r="G122" s="95"/>
      <c r="I122" s="112"/>
      <c r="J122" s="111"/>
    </row>
    <row r="123" spans="1:10" x14ac:dyDescent="0.2">
      <c r="A123" s="96">
        <v>17</v>
      </c>
      <c r="B123" s="120" t="s">
        <v>142</v>
      </c>
      <c r="C123" s="98" t="s">
        <v>143</v>
      </c>
      <c r="D123" s="99" t="s">
        <v>63</v>
      </c>
      <c r="E123" s="109">
        <v>500</v>
      </c>
      <c r="F123" s="100">
        <v>50</v>
      </c>
      <c r="G123" s="101">
        <f>E123*F123</f>
        <v>25000</v>
      </c>
      <c r="I123" s="113"/>
      <c r="J123" s="111"/>
    </row>
    <row r="124" spans="1:10" x14ac:dyDescent="0.2">
      <c r="A124" s="102"/>
      <c r="B124" s="121" t="s">
        <v>81</v>
      </c>
      <c r="C124" s="104" t="str">
        <f>CONCATENATE(B122," ",C122)</f>
        <v>94 Lešení a stavební výtahy</v>
      </c>
      <c r="D124" s="102"/>
      <c r="E124" s="118"/>
      <c r="F124" s="105"/>
      <c r="G124" s="106">
        <f>SUM(G122:G123)</f>
        <v>25000</v>
      </c>
      <c r="I124" s="114"/>
      <c r="J124" s="111"/>
    </row>
    <row r="125" spans="1:10" x14ac:dyDescent="0.2">
      <c r="A125" s="90" t="s">
        <v>58</v>
      </c>
      <c r="B125" s="119" t="s">
        <v>144</v>
      </c>
      <c r="C125" s="92" t="s">
        <v>145</v>
      </c>
      <c r="D125" s="93"/>
      <c r="E125" s="117"/>
      <c r="F125" s="94"/>
      <c r="G125" s="95"/>
      <c r="I125" s="112"/>
      <c r="J125" s="111"/>
    </row>
    <row r="126" spans="1:10" x14ac:dyDescent="0.2">
      <c r="A126" s="96">
        <v>18</v>
      </c>
      <c r="B126" s="120" t="s">
        <v>146</v>
      </c>
      <c r="C126" s="98" t="s">
        <v>147</v>
      </c>
      <c r="D126" s="99" t="s">
        <v>63</v>
      </c>
      <c r="E126" s="109">
        <f>SUM(E127:E135)</f>
        <v>34.879999999999995</v>
      </c>
      <c r="F126" s="100">
        <v>75</v>
      </c>
      <c r="G126" s="101">
        <f t="shared" ref="G126" si="12">E126*F126</f>
        <v>2615.9999999999995</v>
      </c>
      <c r="H126" s="136"/>
      <c r="I126" s="113"/>
      <c r="J126" s="111"/>
    </row>
    <row r="127" spans="1:10" x14ac:dyDescent="0.2">
      <c r="A127" s="96"/>
      <c r="B127" s="120"/>
      <c r="C127" s="124" t="s">
        <v>533</v>
      </c>
      <c r="D127" s="125"/>
      <c r="E127" s="126">
        <f>1.6*1.3</f>
        <v>2.08</v>
      </c>
      <c r="F127" s="100"/>
      <c r="G127" s="101"/>
      <c r="I127" s="113"/>
      <c r="J127" s="111"/>
    </row>
    <row r="128" spans="1:10" x14ac:dyDescent="0.2">
      <c r="A128" s="96"/>
      <c r="B128" s="120"/>
      <c r="C128" s="124" t="s">
        <v>534</v>
      </c>
      <c r="D128" s="125"/>
      <c r="E128" s="126">
        <f>1.6*1.3</f>
        <v>2.08</v>
      </c>
      <c r="F128" s="100"/>
      <c r="G128" s="101"/>
      <c r="I128" s="113"/>
      <c r="J128" s="111"/>
    </row>
    <row r="129" spans="1:10" x14ac:dyDescent="0.2">
      <c r="A129" s="96"/>
      <c r="B129" s="120"/>
      <c r="C129" s="124" t="s">
        <v>535</v>
      </c>
      <c r="D129" s="125"/>
      <c r="E129" s="126">
        <f>1.6*1.3+2*2</f>
        <v>6.08</v>
      </c>
      <c r="F129" s="100"/>
      <c r="G129" s="101"/>
      <c r="I129" s="113"/>
      <c r="J129" s="111"/>
    </row>
    <row r="130" spans="1:10" x14ac:dyDescent="0.2">
      <c r="A130" s="96"/>
      <c r="B130" s="120"/>
      <c r="C130" s="124" t="s">
        <v>536</v>
      </c>
      <c r="D130" s="125"/>
      <c r="E130" s="126">
        <f>1.6*1.3</f>
        <v>2.08</v>
      </c>
      <c r="F130" s="100"/>
      <c r="G130" s="101"/>
      <c r="I130" s="113"/>
      <c r="J130" s="111"/>
    </row>
    <row r="131" spans="1:10" x14ac:dyDescent="0.2">
      <c r="A131" s="96"/>
      <c r="B131" s="120"/>
      <c r="C131" s="124" t="s">
        <v>537</v>
      </c>
      <c r="D131" s="125"/>
      <c r="E131" s="126">
        <f>1.6*1.3*2+2*2</f>
        <v>8.16</v>
      </c>
      <c r="F131" s="100"/>
      <c r="G131" s="101"/>
      <c r="I131" s="113"/>
      <c r="J131" s="111"/>
    </row>
    <row r="132" spans="1:10" x14ac:dyDescent="0.2">
      <c r="A132" s="96"/>
      <c r="B132" s="120"/>
      <c r="C132" s="124" t="s">
        <v>538</v>
      </c>
      <c r="D132" s="125"/>
      <c r="E132" s="126">
        <f>1.6*1.3</f>
        <v>2.08</v>
      </c>
      <c r="F132" s="100"/>
      <c r="G132" s="101"/>
      <c r="I132" s="113"/>
      <c r="J132" s="111"/>
    </row>
    <row r="133" spans="1:10" x14ac:dyDescent="0.2">
      <c r="A133" s="96"/>
      <c r="B133" s="120"/>
      <c r="C133" s="124" t="s">
        <v>539</v>
      </c>
      <c r="D133" s="125"/>
      <c r="E133" s="126">
        <f>1.6*1.3</f>
        <v>2.08</v>
      </c>
      <c r="F133" s="100"/>
      <c r="G133" s="101"/>
      <c r="I133" s="113"/>
      <c r="J133" s="111"/>
    </row>
    <row r="134" spans="1:10" x14ac:dyDescent="0.2">
      <c r="A134" s="96"/>
      <c r="B134" s="120"/>
      <c r="C134" s="124" t="s">
        <v>540</v>
      </c>
      <c r="D134" s="125"/>
      <c r="E134" s="126">
        <f>1.6*1.3</f>
        <v>2.08</v>
      </c>
      <c r="F134" s="100"/>
      <c r="G134" s="101"/>
      <c r="I134" s="113"/>
      <c r="J134" s="111"/>
    </row>
    <row r="135" spans="1:10" x14ac:dyDescent="0.2">
      <c r="A135" s="96"/>
      <c r="B135" s="120"/>
      <c r="C135" s="124" t="s">
        <v>541</v>
      </c>
      <c r="D135" s="125"/>
      <c r="E135" s="126">
        <f>1.6*1.3*2+2*2</f>
        <v>8.16</v>
      </c>
      <c r="F135" s="100"/>
      <c r="G135" s="101"/>
      <c r="I135" s="113"/>
      <c r="J135" s="111"/>
    </row>
    <row r="136" spans="1:10" x14ac:dyDescent="0.2">
      <c r="A136" s="96">
        <v>19</v>
      </c>
      <c r="B136" s="120" t="s">
        <v>148</v>
      </c>
      <c r="C136" s="98" t="s">
        <v>149</v>
      </c>
      <c r="D136" s="99" t="s">
        <v>63</v>
      </c>
      <c r="E136" s="109">
        <f>SUM(E137:E145)</f>
        <v>34.879999999999995</v>
      </c>
      <c r="F136" s="100">
        <v>84</v>
      </c>
      <c r="G136" s="101">
        <f t="shared" ref="G136" si="13">E136*F136</f>
        <v>2929.9199999999996</v>
      </c>
      <c r="H136" s="136"/>
      <c r="I136" s="113"/>
      <c r="J136" s="111"/>
    </row>
    <row r="137" spans="1:10" x14ac:dyDescent="0.2">
      <c r="A137" s="96"/>
      <c r="B137" s="120"/>
      <c r="C137" s="124" t="s">
        <v>533</v>
      </c>
      <c r="D137" s="125"/>
      <c r="E137" s="126">
        <f>1.6*1.3</f>
        <v>2.08</v>
      </c>
      <c r="F137" s="100"/>
      <c r="G137" s="101"/>
      <c r="I137" s="113"/>
      <c r="J137" s="111"/>
    </row>
    <row r="138" spans="1:10" x14ac:dyDescent="0.2">
      <c r="A138" s="96"/>
      <c r="B138" s="120"/>
      <c r="C138" s="124" t="s">
        <v>534</v>
      </c>
      <c r="D138" s="125"/>
      <c r="E138" s="126">
        <f>1.6*1.3</f>
        <v>2.08</v>
      </c>
      <c r="F138" s="100"/>
      <c r="G138" s="101"/>
      <c r="I138" s="113"/>
      <c r="J138" s="111"/>
    </row>
    <row r="139" spans="1:10" x14ac:dyDescent="0.2">
      <c r="A139" s="96"/>
      <c r="B139" s="120"/>
      <c r="C139" s="124" t="s">
        <v>535</v>
      </c>
      <c r="D139" s="125"/>
      <c r="E139" s="126">
        <f>1.6*1.3+2*2</f>
        <v>6.08</v>
      </c>
      <c r="F139" s="100"/>
      <c r="G139" s="101"/>
      <c r="I139" s="113"/>
      <c r="J139" s="111"/>
    </row>
    <row r="140" spans="1:10" x14ac:dyDescent="0.2">
      <c r="A140" s="96"/>
      <c r="B140" s="120"/>
      <c r="C140" s="124" t="s">
        <v>536</v>
      </c>
      <c r="D140" s="125"/>
      <c r="E140" s="126">
        <f>1.6*1.3</f>
        <v>2.08</v>
      </c>
      <c r="F140" s="100"/>
      <c r="G140" s="101"/>
      <c r="I140" s="113"/>
      <c r="J140" s="111"/>
    </row>
    <row r="141" spans="1:10" x14ac:dyDescent="0.2">
      <c r="A141" s="96"/>
      <c r="B141" s="120"/>
      <c r="C141" s="124" t="s">
        <v>537</v>
      </c>
      <c r="D141" s="125"/>
      <c r="E141" s="126">
        <f>1.6*1.3*2+2*2</f>
        <v>8.16</v>
      </c>
      <c r="F141" s="100"/>
      <c r="G141" s="101"/>
      <c r="I141" s="113"/>
      <c r="J141" s="111"/>
    </row>
    <row r="142" spans="1:10" x14ac:dyDescent="0.2">
      <c r="A142" s="96"/>
      <c r="B142" s="120"/>
      <c r="C142" s="124" t="s">
        <v>538</v>
      </c>
      <c r="D142" s="125"/>
      <c r="E142" s="126">
        <f>1.6*1.3</f>
        <v>2.08</v>
      </c>
      <c r="F142" s="100"/>
      <c r="G142" s="101"/>
      <c r="I142" s="113"/>
      <c r="J142" s="111"/>
    </row>
    <row r="143" spans="1:10" x14ac:dyDescent="0.2">
      <c r="A143" s="96"/>
      <c r="B143" s="120"/>
      <c r="C143" s="124" t="s">
        <v>539</v>
      </c>
      <c r="D143" s="125"/>
      <c r="E143" s="126">
        <f>1.6*1.3</f>
        <v>2.08</v>
      </c>
      <c r="F143" s="100"/>
      <c r="G143" s="101"/>
      <c r="I143" s="113"/>
      <c r="J143" s="111"/>
    </row>
    <row r="144" spans="1:10" x14ac:dyDescent="0.2">
      <c r="A144" s="96"/>
      <c r="B144" s="120"/>
      <c r="C144" s="124" t="s">
        <v>540</v>
      </c>
      <c r="D144" s="125"/>
      <c r="E144" s="126">
        <v>2.08</v>
      </c>
      <c r="F144" s="100"/>
      <c r="G144" s="101"/>
      <c r="I144" s="113"/>
      <c r="J144" s="111"/>
    </row>
    <row r="145" spans="1:10" x14ac:dyDescent="0.2">
      <c r="A145" s="96"/>
      <c r="B145" s="120"/>
      <c r="C145" s="124" t="s">
        <v>541</v>
      </c>
      <c r="D145" s="125"/>
      <c r="E145" s="126">
        <f>1.6*1.3*2+2*2</f>
        <v>8.16</v>
      </c>
      <c r="F145" s="100"/>
      <c r="G145" s="101"/>
      <c r="I145" s="113"/>
      <c r="J145" s="111"/>
    </row>
    <row r="146" spans="1:10" x14ac:dyDescent="0.2">
      <c r="A146" s="149">
        <v>20</v>
      </c>
      <c r="B146" s="120" t="s">
        <v>61</v>
      </c>
      <c r="C146" s="107" t="s">
        <v>588</v>
      </c>
      <c r="D146" s="110" t="s">
        <v>63</v>
      </c>
      <c r="E146" s="109">
        <f>SUM(E147:E151)</f>
        <v>232.39999999999998</v>
      </c>
      <c r="F146" s="109">
        <v>120</v>
      </c>
      <c r="G146" s="150">
        <f t="shared" ref="G146" si="14">E146*F146</f>
        <v>27887.999999999996</v>
      </c>
      <c r="I146" s="113"/>
      <c r="J146" s="111"/>
    </row>
    <row r="147" spans="1:10" x14ac:dyDescent="0.2">
      <c r="A147" s="149"/>
      <c r="B147" s="120"/>
      <c r="C147" s="151" t="s">
        <v>589</v>
      </c>
      <c r="D147" s="152"/>
      <c r="E147" s="126">
        <f>7*3.3*2</f>
        <v>46.199999999999996</v>
      </c>
      <c r="F147" s="109"/>
      <c r="G147" s="150"/>
      <c r="I147" s="113"/>
      <c r="J147" s="111"/>
    </row>
    <row r="148" spans="1:10" x14ac:dyDescent="0.2">
      <c r="A148" s="149"/>
      <c r="B148" s="120"/>
      <c r="C148" s="151" t="s">
        <v>590</v>
      </c>
      <c r="D148" s="152"/>
      <c r="E148" s="126">
        <f>7*3.3*2</f>
        <v>46.199999999999996</v>
      </c>
      <c r="F148" s="109"/>
      <c r="G148" s="150"/>
      <c r="I148" s="113"/>
      <c r="J148" s="111"/>
    </row>
    <row r="149" spans="1:10" x14ac:dyDescent="0.2">
      <c r="A149" s="149"/>
      <c r="B149" s="120"/>
      <c r="C149" s="151" t="s">
        <v>591</v>
      </c>
      <c r="D149" s="152"/>
      <c r="E149" s="126">
        <f>7*3.3*2</f>
        <v>46.199999999999996</v>
      </c>
      <c r="F149" s="109"/>
      <c r="G149" s="150"/>
      <c r="I149" s="113"/>
      <c r="J149" s="111"/>
    </row>
    <row r="150" spans="1:10" x14ac:dyDescent="0.2">
      <c r="A150" s="149"/>
      <c r="B150" s="120"/>
      <c r="C150" s="151" t="s">
        <v>592</v>
      </c>
      <c r="D150" s="152"/>
      <c r="E150" s="126">
        <f>7*3.3*2</f>
        <v>46.199999999999996</v>
      </c>
      <c r="F150" s="109"/>
      <c r="G150" s="150"/>
      <c r="I150" s="113"/>
      <c r="J150" s="111"/>
    </row>
    <row r="151" spans="1:10" x14ac:dyDescent="0.2">
      <c r="A151" s="149"/>
      <c r="B151" s="120"/>
      <c r="C151" s="151" t="s">
        <v>593</v>
      </c>
      <c r="D151" s="152"/>
      <c r="E151" s="126">
        <f>7*3.4*2</f>
        <v>47.6</v>
      </c>
      <c r="F151" s="109"/>
      <c r="G151" s="150"/>
      <c r="I151" s="113"/>
      <c r="J151" s="111"/>
    </row>
    <row r="152" spans="1:10" x14ac:dyDescent="0.2">
      <c r="A152" s="149">
        <v>21</v>
      </c>
      <c r="B152" s="120" t="s">
        <v>61</v>
      </c>
      <c r="C152" s="107" t="s">
        <v>594</v>
      </c>
      <c r="D152" s="110" t="s">
        <v>63</v>
      </c>
      <c r="E152" s="109">
        <f>E153</f>
        <v>23.099999999999998</v>
      </c>
      <c r="F152" s="109">
        <v>150</v>
      </c>
      <c r="G152" s="150">
        <f t="shared" ref="G152" si="15">E152*F152</f>
        <v>3464.9999999999995</v>
      </c>
      <c r="I152" s="113"/>
      <c r="J152" s="111"/>
    </row>
    <row r="153" spans="1:10" x14ac:dyDescent="0.2">
      <c r="A153" s="149"/>
      <c r="B153" s="120"/>
      <c r="C153" s="151" t="s">
        <v>595</v>
      </c>
      <c r="D153" s="152"/>
      <c r="E153" s="126">
        <f>7*3.3</f>
        <v>23.099999999999998</v>
      </c>
      <c r="F153" s="109"/>
      <c r="G153" s="150"/>
      <c r="I153" s="113"/>
      <c r="J153" s="111"/>
    </row>
    <row r="154" spans="1:10" x14ac:dyDescent="0.2">
      <c r="A154" s="96">
        <v>22</v>
      </c>
      <c r="B154" s="120" t="s">
        <v>150</v>
      </c>
      <c r="C154" s="107" t="s">
        <v>151</v>
      </c>
      <c r="D154" s="99" t="s">
        <v>152</v>
      </c>
      <c r="E154" s="109">
        <v>27.9</v>
      </c>
      <c r="F154" s="100">
        <v>383</v>
      </c>
      <c r="G154" s="101">
        <f t="shared" ref="G154:G158" si="16">E154*F154</f>
        <v>10685.699999999999</v>
      </c>
      <c r="H154" s="116"/>
      <c r="I154" s="113"/>
      <c r="J154" s="111"/>
    </row>
    <row r="155" spans="1:10" x14ac:dyDescent="0.2">
      <c r="A155" s="96">
        <v>23</v>
      </c>
      <c r="B155" s="120" t="s">
        <v>153</v>
      </c>
      <c r="C155" s="107" t="s">
        <v>154</v>
      </c>
      <c r="D155" s="99" t="s">
        <v>152</v>
      </c>
      <c r="E155" s="109">
        <f>27.9*4</f>
        <v>111.6</v>
      </c>
      <c r="F155" s="100">
        <v>42</v>
      </c>
      <c r="G155" s="101">
        <f t="shared" si="16"/>
        <v>4687.2</v>
      </c>
      <c r="H155" s="116"/>
      <c r="I155" s="113"/>
      <c r="J155" s="111"/>
    </row>
    <row r="156" spans="1:10" x14ac:dyDescent="0.2">
      <c r="A156" s="96">
        <v>24</v>
      </c>
      <c r="B156" s="120" t="s">
        <v>155</v>
      </c>
      <c r="C156" s="107" t="s">
        <v>156</v>
      </c>
      <c r="D156" s="99" t="s">
        <v>152</v>
      </c>
      <c r="E156" s="109">
        <v>27.9</v>
      </c>
      <c r="F156" s="100">
        <v>365</v>
      </c>
      <c r="G156" s="101">
        <f t="shared" si="16"/>
        <v>10183.5</v>
      </c>
      <c r="H156" s="116"/>
      <c r="I156" s="113"/>
      <c r="J156" s="111"/>
    </row>
    <row r="157" spans="1:10" x14ac:dyDescent="0.2">
      <c r="A157" s="96">
        <v>25</v>
      </c>
      <c r="B157" s="120" t="s">
        <v>157</v>
      </c>
      <c r="C157" s="107" t="s">
        <v>158</v>
      </c>
      <c r="D157" s="99" t="s">
        <v>152</v>
      </c>
      <c r="E157" s="109">
        <f>27.9*19</f>
        <v>530.1</v>
      </c>
      <c r="F157" s="100">
        <v>14</v>
      </c>
      <c r="G157" s="101">
        <f t="shared" si="16"/>
        <v>7421.4000000000005</v>
      </c>
      <c r="H157" s="116"/>
      <c r="I157" s="113"/>
      <c r="J157" s="111"/>
    </row>
    <row r="158" spans="1:10" x14ac:dyDescent="0.2">
      <c r="A158" s="96">
        <v>26</v>
      </c>
      <c r="B158" s="120" t="s">
        <v>159</v>
      </c>
      <c r="C158" s="107" t="s">
        <v>160</v>
      </c>
      <c r="D158" s="99" t="s">
        <v>152</v>
      </c>
      <c r="E158" s="109">
        <v>27.9</v>
      </c>
      <c r="F158" s="100">
        <v>350</v>
      </c>
      <c r="G158" s="101">
        <f t="shared" si="16"/>
        <v>9765</v>
      </c>
      <c r="H158" s="116"/>
      <c r="I158" s="113"/>
      <c r="J158" s="111"/>
    </row>
    <row r="159" spans="1:10" x14ac:dyDescent="0.2">
      <c r="A159" s="102"/>
      <c r="B159" s="121" t="s">
        <v>81</v>
      </c>
      <c r="C159" s="104" t="str">
        <f>CONCATENATE(B125," ",C125)</f>
        <v>96 Bourání konstrukcí</v>
      </c>
      <c r="D159" s="102"/>
      <c r="E159" s="118"/>
      <c r="F159" s="105"/>
      <c r="G159" s="106">
        <f>SUM(G125:G158)</f>
        <v>79641.719999999987</v>
      </c>
      <c r="H159" s="116"/>
      <c r="I159" s="114"/>
      <c r="J159" s="111"/>
    </row>
    <row r="160" spans="1:10" x14ac:dyDescent="0.2">
      <c r="A160" s="90" t="s">
        <v>58</v>
      </c>
      <c r="B160" s="119" t="s">
        <v>161</v>
      </c>
      <c r="C160" s="92" t="s">
        <v>162</v>
      </c>
      <c r="D160" s="93"/>
      <c r="E160" s="117"/>
      <c r="F160" s="94"/>
      <c r="G160" s="95"/>
      <c r="I160" s="112"/>
      <c r="J160" s="111"/>
    </row>
    <row r="161" spans="1:17" x14ac:dyDescent="0.2">
      <c r="A161" s="96">
        <v>27</v>
      </c>
      <c r="B161" s="120" t="s">
        <v>163</v>
      </c>
      <c r="C161" s="107" t="s">
        <v>164</v>
      </c>
      <c r="D161" s="99" t="s">
        <v>152</v>
      </c>
      <c r="E161" s="109">
        <v>92.7</v>
      </c>
      <c r="F161" s="100">
        <v>880</v>
      </c>
      <c r="G161" s="101">
        <f>E161*F161</f>
        <v>81576</v>
      </c>
      <c r="H161" s="116"/>
      <c r="I161" s="113"/>
      <c r="J161" s="111"/>
    </row>
    <row r="162" spans="1:17" x14ac:dyDescent="0.2">
      <c r="A162" s="102"/>
      <c r="B162" s="121" t="s">
        <v>81</v>
      </c>
      <c r="C162" s="104" t="str">
        <f>CONCATENATE(B160," ",C160)</f>
        <v>99 Staveništní přesun hmot</v>
      </c>
      <c r="D162" s="102"/>
      <c r="E162" s="118"/>
      <c r="F162" s="105"/>
      <c r="G162" s="106">
        <f>SUM(G160:G161)</f>
        <v>81576</v>
      </c>
      <c r="I162" s="114"/>
      <c r="J162" s="111"/>
    </row>
    <row r="163" spans="1:17" x14ac:dyDescent="0.2">
      <c r="A163" s="90" t="s">
        <v>58</v>
      </c>
      <c r="B163" s="119" t="s">
        <v>165</v>
      </c>
      <c r="C163" s="92" t="s">
        <v>166</v>
      </c>
      <c r="D163" s="93"/>
      <c r="E163" s="117"/>
      <c r="F163" s="94"/>
      <c r="G163" s="95"/>
      <c r="I163" s="112"/>
      <c r="J163" s="111"/>
      <c r="K163" s="112"/>
      <c r="L163" s="111"/>
      <c r="M163" s="112"/>
      <c r="N163" s="112"/>
      <c r="O163" s="112"/>
      <c r="Q163" s="112"/>
    </row>
    <row r="164" spans="1:17" x14ac:dyDescent="0.2">
      <c r="A164" s="96">
        <v>28</v>
      </c>
      <c r="B164" s="120" t="s">
        <v>167</v>
      </c>
      <c r="C164" s="107" t="s">
        <v>168</v>
      </c>
      <c r="D164" s="99" t="s">
        <v>76</v>
      </c>
      <c r="E164" s="109">
        <v>5</v>
      </c>
      <c r="F164" s="109">
        <v>446</v>
      </c>
      <c r="G164" s="101">
        <f t="shared" ref="G164:G168" si="17">E164*F164</f>
        <v>2230</v>
      </c>
      <c r="H164" s="136"/>
      <c r="I164" s="113"/>
      <c r="J164" s="111"/>
      <c r="K164" s="111"/>
      <c r="L164" s="111"/>
      <c r="M164" s="111"/>
      <c r="N164" s="111"/>
      <c r="O164" s="111"/>
      <c r="Q164" s="111"/>
    </row>
    <row r="165" spans="1:17" x14ac:dyDescent="0.2">
      <c r="A165" s="96">
        <v>29</v>
      </c>
      <c r="B165" s="120" t="s">
        <v>169</v>
      </c>
      <c r="C165" s="107" t="s">
        <v>170</v>
      </c>
      <c r="D165" s="99" t="s">
        <v>76</v>
      </c>
      <c r="E165" s="109">
        <v>5</v>
      </c>
      <c r="F165" s="109">
        <v>191</v>
      </c>
      <c r="G165" s="101">
        <f t="shared" si="17"/>
        <v>955</v>
      </c>
      <c r="H165" s="136"/>
      <c r="I165" s="113"/>
      <c r="J165" s="111"/>
      <c r="K165" s="111"/>
      <c r="L165" s="111"/>
      <c r="M165" s="111"/>
      <c r="N165" s="111"/>
      <c r="O165" s="111"/>
      <c r="Q165" s="111"/>
    </row>
    <row r="166" spans="1:17" ht="33.75" x14ac:dyDescent="0.2">
      <c r="A166" s="96">
        <v>30</v>
      </c>
      <c r="B166" s="120" t="s">
        <v>171</v>
      </c>
      <c r="C166" s="107" t="s">
        <v>364</v>
      </c>
      <c r="D166" s="99" t="s">
        <v>135</v>
      </c>
      <c r="E166" s="109">
        <v>3</v>
      </c>
      <c r="F166" s="109">
        <v>1275</v>
      </c>
      <c r="G166" s="101">
        <f t="shared" si="17"/>
        <v>3825</v>
      </c>
      <c r="H166" s="136"/>
      <c r="I166" s="113"/>
      <c r="J166" s="111"/>
      <c r="K166" s="111"/>
      <c r="L166" s="111"/>
      <c r="M166" s="111"/>
      <c r="N166" s="111"/>
      <c r="O166" s="111"/>
      <c r="Q166" s="111"/>
    </row>
    <row r="167" spans="1:17" ht="22.5" x14ac:dyDescent="0.2">
      <c r="A167" s="96">
        <v>31</v>
      </c>
      <c r="B167" s="120" t="s">
        <v>173</v>
      </c>
      <c r="C167" s="107" t="s">
        <v>596</v>
      </c>
      <c r="D167" s="99" t="s">
        <v>76</v>
      </c>
      <c r="E167" s="109">
        <v>2</v>
      </c>
      <c r="F167" s="109">
        <v>4394</v>
      </c>
      <c r="G167" s="101">
        <f t="shared" si="17"/>
        <v>8788</v>
      </c>
      <c r="H167" s="136"/>
      <c r="I167" s="113"/>
      <c r="J167" s="111"/>
      <c r="K167" s="111"/>
      <c r="L167" s="111"/>
      <c r="M167" s="111"/>
      <c r="N167" s="111"/>
      <c r="O167" s="111"/>
      <c r="Q167" s="111"/>
    </row>
    <row r="168" spans="1:17" x14ac:dyDescent="0.2">
      <c r="A168" s="96">
        <v>32</v>
      </c>
      <c r="B168" s="120" t="s">
        <v>366</v>
      </c>
      <c r="C168" s="98" t="s">
        <v>174</v>
      </c>
      <c r="D168" s="99" t="s">
        <v>175</v>
      </c>
      <c r="E168" s="109">
        <v>13.5</v>
      </c>
      <c r="F168" s="109">
        <v>500</v>
      </c>
      <c r="G168" s="101">
        <f t="shared" si="17"/>
        <v>6750</v>
      </c>
      <c r="H168" s="137"/>
      <c r="I168" s="113"/>
      <c r="J168" s="111"/>
    </row>
    <row r="169" spans="1:17" x14ac:dyDescent="0.2">
      <c r="A169" s="102"/>
      <c r="B169" s="121" t="s">
        <v>81</v>
      </c>
      <c r="C169" s="104" t="str">
        <f>CONCATENATE(B163," ",C163)</f>
        <v>720 Zdravotechnická instalace</v>
      </c>
      <c r="D169" s="102"/>
      <c r="E169" s="118"/>
      <c r="F169" s="105"/>
      <c r="G169" s="106">
        <f>SUM(G163:G168)</f>
        <v>22548</v>
      </c>
      <c r="I169" s="114"/>
      <c r="J169" s="111"/>
    </row>
    <row r="170" spans="1:17" x14ac:dyDescent="0.2">
      <c r="A170" s="90" t="s">
        <v>58</v>
      </c>
      <c r="B170" s="119" t="s">
        <v>176</v>
      </c>
      <c r="C170" s="92" t="s">
        <v>177</v>
      </c>
      <c r="D170" s="93"/>
      <c r="E170" s="117"/>
      <c r="F170" s="94"/>
      <c r="G170" s="95"/>
      <c r="H170" s="136"/>
      <c r="I170" s="113"/>
      <c r="J170" s="113"/>
    </row>
    <row r="171" spans="1:17" x14ac:dyDescent="0.2">
      <c r="A171" s="96">
        <v>33</v>
      </c>
      <c r="B171" s="120" t="s">
        <v>178</v>
      </c>
      <c r="C171" s="107" t="s">
        <v>179</v>
      </c>
      <c r="D171" s="99" t="s">
        <v>76</v>
      </c>
      <c r="E171" s="109">
        <v>11</v>
      </c>
      <c r="F171" s="109">
        <v>488</v>
      </c>
      <c r="G171" s="101">
        <f t="shared" ref="G171:G184" si="18">E171*F171</f>
        <v>5368</v>
      </c>
      <c r="H171" s="136"/>
      <c r="I171" s="113"/>
      <c r="J171" s="111"/>
    </row>
    <row r="172" spans="1:17" ht="22.5" x14ac:dyDescent="0.2">
      <c r="A172" s="96">
        <v>34</v>
      </c>
      <c r="B172" s="120" t="s">
        <v>180</v>
      </c>
      <c r="C172" s="107" t="s">
        <v>181</v>
      </c>
      <c r="D172" s="99" t="s">
        <v>135</v>
      </c>
      <c r="E172" s="109">
        <v>11</v>
      </c>
      <c r="F172" s="109">
        <v>825</v>
      </c>
      <c r="G172" s="101">
        <f t="shared" si="18"/>
        <v>9075</v>
      </c>
      <c r="H172" s="136"/>
      <c r="I172" s="113"/>
      <c r="J172" s="111"/>
    </row>
    <row r="173" spans="1:17" ht="56.25" x14ac:dyDescent="0.2">
      <c r="A173" s="96">
        <v>35</v>
      </c>
      <c r="B173" s="120" t="s">
        <v>182</v>
      </c>
      <c r="C173" s="107" t="s">
        <v>597</v>
      </c>
      <c r="D173" s="99" t="s">
        <v>76</v>
      </c>
      <c r="E173" s="109">
        <v>1</v>
      </c>
      <c r="F173" s="109">
        <v>5816</v>
      </c>
      <c r="G173" s="101">
        <f t="shared" si="18"/>
        <v>5816</v>
      </c>
      <c r="H173" s="138"/>
      <c r="I173" s="113"/>
      <c r="J173" s="111"/>
    </row>
    <row r="174" spans="1:17" ht="56.25" x14ac:dyDescent="0.2">
      <c r="A174" s="96">
        <v>36</v>
      </c>
      <c r="B174" s="120" t="s">
        <v>184</v>
      </c>
      <c r="C174" s="107" t="s">
        <v>598</v>
      </c>
      <c r="D174" s="99" t="s">
        <v>76</v>
      </c>
      <c r="E174" s="109">
        <v>1</v>
      </c>
      <c r="F174" s="109">
        <v>6451</v>
      </c>
      <c r="G174" s="101">
        <f t="shared" si="18"/>
        <v>6451</v>
      </c>
      <c r="H174" s="138"/>
      <c r="I174" s="113"/>
      <c r="J174" s="111"/>
    </row>
    <row r="175" spans="1:17" ht="56.25" x14ac:dyDescent="0.2">
      <c r="A175" s="96">
        <v>37</v>
      </c>
      <c r="B175" s="120" t="s">
        <v>186</v>
      </c>
      <c r="C175" s="107" t="s">
        <v>599</v>
      </c>
      <c r="D175" s="99" t="s">
        <v>76</v>
      </c>
      <c r="E175" s="109">
        <v>1</v>
      </c>
      <c r="F175" s="109">
        <v>5605</v>
      </c>
      <c r="G175" s="101">
        <f t="shared" si="18"/>
        <v>5605</v>
      </c>
      <c r="H175" s="138"/>
      <c r="I175" s="113"/>
      <c r="J175" s="111"/>
    </row>
    <row r="176" spans="1:17" ht="56.25" x14ac:dyDescent="0.2">
      <c r="A176" s="96">
        <v>38</v>
      </c>
      <c r="B176" s="120" t="s">
        <v>188</v>
      </c>
      <c r="C176" s="107" t="s">
        <v>600</v>
      </c>
      <c r="D176" s="99" t="s">
        <v>76</v>
      </c>
      <c r="E176" s="109">
        <v>1</v>
      </c>
      <c r="F176" s="109">
        <v>5605</v>
      </c>
      <c r="G176" s="101">
        <f t="shared" si="18"/>
        <v>5605</v>
      </c>
      <c r="H176" s="138"/>
      <c r="I176" s="113"/>
      <c r="J176" s="111"/>
    </row>
    <row r="177" spans="1:16" ht="56.25" x14ac:dyDescent="0.2">
      <c r="A177" s="96">
        <v>39</v>
      </c>
      <c r="B177" s="120" t="s">
        <v>190</v>
      </c>
      <c r="C177" s="107" t="s">
        <v>601</v>
      </c>
      <c r="D177" s="99" t="s">
        <v>76</v>
      </c>
      <c r="E177" s="109">
        <v>1</v>
      </c>
      <c r="F177" s="109">
        <v>6027</v>
      </c>
      <c r="G177" s="101">
        <f t="shared" si="18"/>
        <v>6027</v>
      </c>
      <c r="H177" s="138"/>
      <c r="I177" s="113"/>
      <c r="J177" s="111"/>
    </row>
    <row r="178" spans="1:16" ht="56.25" x14ac:dyDescent="0.2">
      <c r="A178" s="96">
        <v>40</v>
      </c>
      <c r="B178" s="120" t="s">
        <v>192</v>
      </c>
      <c r="C178" s="107" t="s">
        <v>602</v>
      </c>
      <c r="D178" s="99" t="s">
        <v>76</v>
      </c>
      <c r="E178" s="109">
        <v>1</v>
      </c>
      <c r="F178" s="109">
        <v>6027</v>
      </c>
      <c r="G178" s="101">
        <f t="shared" si="18"/>
        <v>6027</v>
      </c>
      <c r="H178" s="138"/>
      <c r="I178" s="113"/>
      <c r="J178" s="111"/>
    </row>
    <row r="179" spans="1:16" ht="56.25" x14ac:dyDescent="0.2">
      <c r="A179" s="96">
        <v>41</v>
      </c>
      <c r="B179" s="120" t="s">
        <v>194</v>
      </c>
      <c r="C179" s="107" t="s">
        <v>603</v>
      </c>
      <c r="D179" s="99" t="s">
        <v>76</v>
      </c>
      <c r="E179" s="109">
        <v>1</v>
      </c>
      <c r="F179" s="109">
        <v>6027</v>
      </c>
      <c r="G179" s="101">
        <f t="shared" si="18"/>
        <v>6027</v>
      </c>
      <c r="H179" s="138"/>
      <c r="I179" s="113"/>
      <c r="J179" s="111"/>
    </row>
    <row r="180" spans="1:16" ht="56.25" x14ac:dyDescent="0.2">
      <c r="A180" s="96">
        <v>42</v>
      </c>
      <c r="B180" s="120" t="s">
        <v>372</v>
      </c>
      <c r="C180" s="107" t="s">
        <v>604</v>
      </c>
      <c r="D180" s="99" t="s">
        <v>76</v>
      </c>
      <c r="E180" s="109">
        <v>2</v>
      </c>
      <c r="F180" s="109">
        <v>6451</v>
      </c>
      <c r="G180" s="101">
        <f t="shared" si="18"/>
        <v>12902</v>
      </c>
      <c r="H180" s="138"/>
      <c r="I180" s="113"/>
      <c r="J180" s="111"/>
    </row>
    <row r="181" spans="1:16" ht="56.25" x14ac:dyDescent="0.2">
      <c r="A181" s="96">
        <v>43</v>
      </c>
      <c r="B181" s="120" t="s">
        <v>462</v>
      </c>
      <c r="C181" s="107" t="s">
        <v>605</v>
      </c>
      <c r="D181" s="99" t="s">
        <v>76</v>
      </c>
      <c r="E181" s="109">
        <v>2</v>
      </c>
      <c r="F181" s="109">
        <v>6027</v>
      </c>
      <c r="G181" s="101">
        <f t="shared" si="18"/>
        <v>12054</v>
      </c>
      <c r="H181" s="138"/>
      <c r="I181" s="113"/>
      <c r="J181" s="111"/>
    </row>
    <row r="182" spans="1:16" ht="22.5" x14ac:dyDescent="0.2">
      <c r="A182" s="96">
        <v>44</v>
      </c>
      <c r="B182" s="120" t="s">
        <v>463</v>
      </c>
      <c r="C182" s="107" t="s">
        <v>191</v>
      </c>
      <c r="D182" s="99" t="s">
        <v>135</v>
      </c>
      <c r="E182" s="109">
        <v>11</v>
      </c>
      <c r="F182" s="109">
        <v>4735</v>
      </c>
      <c r="G182" s="101">
        <f t="shared" si="18"/>
        <v>52085</v>
      </c>
      <c r="H182" s="136"/>
      <c r="I182" s="114"/>
      <c r="J182" s="111"/>
    </row>
    <row r="183" spans="1:16" x14ac:dyDescent="0.2">
      <c r="A183" s="96">
        <v>45</v>
      </c>
      <c r="B183" s="120" t="s">
        <v>606</v>
      </c>
      <c r="C183" s="107" t="s">
        <v>193</v>
      </c>
      <c r="D183" s="99" t="s">
        <v>135</v>
      </c>
      <c r="E183" s="109">
        <v>1</v>
      </c>
      <c r="F183" s="109">
        <v>2050</v>
      </c>
      <c r="G183" s="101">
        <f t="shared" si="18"/>
        <v>2050</v>
      </c>
      <c r="H183" s="138"/>
      <c r="I183" s="113"/>
      <c r="J183" s="111"/>
    </row>
    <row r="184" spans="1:16" x14ac:dyDescent="0.2">
      <c r="A184" s="96">
        <v>46</v>
      </c>
      <c r="B184" s="120" t="s">
        <v>607</v>
      </c>
      <c r="C184" s="98" t="s">
        <v>195</v>
      </c>
      <c r="D184" s="99" t="s">
        <v>175</v>
      </c>
      <c r="E184" s="109">
        <v>18</v>
      </c>
      <c r="F184" s="109">
        <v>500</v>
      </c>
      <c r="G184" s="101">
        <f t="shared" si="18"/>
        <v>9000</v>
      </c>
      <c r="H184" s="136"/>
      <c r="I184" s="114"/>
      <c r="J184" s="111"/>
    </row>
    <row r="185" spans="1:16" x14ac:dyDescent="0.2">
      <c r="A185" s="102"/>
      <c r="B185" s="121" t="s">
        <v>81</v>
      </c>
      <c r="C185" s="104" t="str">
        <f>CONCATENATE(B170," ",C170)</f>
        <v>730 Ústřední vytápění</v>
      </c>
      <c r="D185" s="102"/>
      <c r="E185" s="118"/>
      <c r="F185" s="105"/>
      <c r="G185" s="106">
        <f>SUM(G170:G184)</f>
        <v>144092</v>
      </c>
      <c r="H185" s="136"/>
      <c r="I185" s="114"/>
      <c r="J185" s="111"/>
      <c r="P185" s="136"/>
    </row>
    <row r="186" spans="1:16" x14ac:dyDescent="0.2">
      <c r="A186" s="90" t="s">
        <v>58</v>
      </c>
      <c r="B186" s="119" t="s">
        <v>196</v>
      </c>
      <c r="C186" s="92" t="s">
        <v>197</v>
      </c>
      <c r="D186" s="93"/>
      <c r="E186" s="117"/>
      <c r="F186" s="94"/>
      <c r="G186" s="95"/>
      <c r="H186" s="136"/>
      <c r="I186" s="114"/>
      <c r="J186" s="111"/>
      <c r="P186" s="136"/>
    </row>
    <row r="187" spans="1:16" x14ac:dyDescent="0.2">
      <c r="A187" s="96">
        <v>47</v>
      </c>
      <c r="B187" s="120" t="s">
        <v>198</v>
      </c>
      <c r="C187" s="158" t="s">
        <v>199</v>
      </c>
      <c r="D187" s="99" t="s">
        <v>135</v>
      </c>
      <c r="E187" s="109">
        <v>1</v>
      </c>
      <c r="F187" s="109">
        <v>478240</v>
      </c>
      <c r="G187" s="101">
        <f>E187*F187</f>
        <v>478240</v>
      </c>
      <c r="H187" s="146"/>
      <c r="I187" s="113"/>
      <c r="J187" s="111"/>
    </row>
    <row r="188" spans="1:16" x14ac:dyDescent="0.2">
      <c r="A188" s="102"/>
      <c r="B188" s="121" t="s">
        <v>81</v>
      </c>
      <c r="C188" s="104" t="str">
        <f>CONCATENATE(B186," ",C186)</f>
        <v>766 Nábytek</v>
      </c>
      <c r="D188" s="102"/>
      <c r="E188" s="118"/>
      <c r="F188" s="105"/>
      <c r="G188" s="106">
        <f>SUM(G186:G187)</f>
        <v>478240</v>
      </c>
      <c r="I188" s="114"/>
      <c r="J188" s="111"/>
    </row>
    <row r="189" spans="1:16" x14ac:dyDescent="0.2">
      <c r="A189" s="90" t="s">
        <v>58</v>
      </c>
      <c r="B189" s="119" t="s">
        <v>196</v>
      </c>
      <c r="C189" s="92" t="s">
        <v>200</v>
      </c>
      <c r="D189" s="93"/>
      <c r="E189" s="117"/>
      <c r="F189" s="94"/>
      <c r="G189" s="95"/>
      <c r="I189" s="112"/>
      <c r="J189" s="111"/>
    </row>
    <row r="190" spans="1:16" ht="33.75" x14ac:dyDescent="0.2">
      <c r="A190" s="96">
        <v>48</v>
      </c>
      <c r="B190" s="120" t="s">
        <v>198</v>
      </c>
      <c r="C190" s="107" t="s">
        <v>201</v>
      </c>
      <c r="D190" s="99" t="s">
        <v>63</v>
      </c>
      <c r="E190" s="109">
        <f>SUM(E191:E199)</f>
        <v>264.96000000000004</v>
      </c>
      <c r="F190" s="100">
        <v>800</v>
      </c>
      <c r="G190" s="101">
        <f t="shared" ref="G190" si="19">E190*F190</f>
        <v>211968.00000000003</v>
      </c>
      <c r="H190" s="116"/>
      <c r="I190" s="113"/>
      <c r="J190" s="111"/>
    </row>
    <row r="191" spans="1:16" x14ac:dyDescent="0.2">
      <c r="A191" s="96"/>
      <c r="B191" s="120"/>
      <c r="C191" s="124" t="s">
        <v>579</v>
      </c>
      <c r="D191" s="125"/>
      <c r="E191" s="126">
        <f>6.9*3.2</f>
        <v>22.080000000000002</v>
      </c>
      <c r="F191" s="100"/>
      <c r="G191" s="101"/>
      <c r="H191" s="116"/>
      <c r="I191" s="113"/>
      <c r="J191" s="111"/>
    </row>
    <row r="192" spans="1:16" x14ac:dyDescent="0.2">
      <c r="A192" s="96"/>
      <c r="B192" s="120"/>
      <c r="C192" s="124" t="s">
        <v>580</v>
      </c>
      <c r="D192" s="125"/>
      <c r="E192" s="126">
        <f>6.9*4.6</f>
        <v>31.74</v>
      </c>
      <c r="F192" s="100"/>
      <c r="G192" s="101"/>
      <c r="H192" s="116"/>
      <c r="I192" s="113"/>
      <c r="J192" s="111"/>
    </row>
    <row r="193" spans="1:10" x14ac:dyDescent="0.2">
      <c r="A193" s="96"/>
      <c r="B193" s="120"/>
      <c r="C193" s="124" t="s">
        <v>581</v>
      </c>
      <c r="D193" s="125"/>
      <c r="E193" s="126">
        <f>6.9*2.8</f>
        <v>19.32</v>
      </c>
      <c r="F193" s="100"/>
      <c r="G193" s="101"/>
      <c r="H193" s="116"/>
      <c r="I193" s="113"/>
      <c r="J193" s="111"/>
    </row>
    <row r="194" spans="1:10" x14ac:dyDescent="0.2">
      <c r="A194" s="96"/>
      <c r="B194" s="120"/>
      <c r="C194" s="124" t="s">
        <v>582</v>
      </c>
      <c r="D194" s="125"/>
      <c r="E194" s="126">
        <f>6.9*2.7</f>
        <v>18.630000000000003</v>
      </c>
      <c r="F194" s="100"/>
      <c r="G194" s="101"/>
      <c r="H194" s="116"/>
      <c r="I194" s="113"/>
      <c r="J194" s="111"/>
    </row>
    <row r="195" spans="1:10" x14ac:dyDescent="0.2">
      <c r="A195" s="96"/>
      <c r="B195" s="120"/>
      <c r="C195" s="124" t="s">
        <v>583</v>
      </c>
      <c r="D195" s="125"/>
      <c r="E195" s="126">
        <f>6.9*8.5</f>
        <v>58.650000000000006</v>
      </c>
      <c r="F195" s="100"/>
      <c r="G195" s="101"/>
      <c r="H195" s="116"/>
      <c r="I195" s="113"/>
      <c r="J195" s="111"/>
    </row>
    <row r="196" spans="1:10" x14ac:dyDescent="0.2">
      <c r="A196" s="96"/>
      <c r="B196" s="120"/>
      <c r="C196" s="124" t="s">
        <v>584</v>
      </c>
      <c r="D196" s="125"/>
      <c r="E196" s="126">
        <f>6.9*3.7</f>
        <v>25.53</v>
      </c>
      <c r="F196" s="100"/>
      <c r="G196" s="101"/>
      <c r="H196" s="116"/>
      <c r="I196" s="113"/>
      <c r="J196" s="111"/>
    </row>
    <row r="197" spans="1:10" x14ac:dyDescent="0.2">
      <c r="A197" s="96"/>
      <c r="B197" s="120"/>
      <c r="C197" s="124" t="s">
        <v>585</v>
      </c>
      <c r="D197" s="125"/>
      <c r="E197" s="126">
        <f>6.9*3.7</f>
        <v>25.53</v>
      </c>
      <c r="F197" s="100"/>
      <c r="G197" s="101"/>
      <c r="H197" s="116"/>
      <c r="I197" s="113"/>
      <c r="J197" s="111"/>
    </row>
    <row r="198" spans="1:10" x14ac:dyDescent="0.2">
      <c r="A198" s="96"/>
      <c r="B198" s="120"/>
      <c r="C198" s="124" t="s">
        <v>586</v>
      </c>
      <c r="D198" s="125"/>
      <c r="E198" s="126">
        <f>6.9*3.9</f>
        <v>26.91</v>
      </c>
      <c r="F198" s="100"/>
      <c r="G198" s="101"/>
      <c r="H198" s="116"/>
      <c r="I198" s="113"/>
      <c r="J198" s="111"/>
    </row>
    <row r="199" spans="1:10" x14ac:dyDescent="0.2">
      <c r="A199" s="96"/>
      <c r="B199" s="120"/>
      <c r="C199" s="124" t="s">
        <v>587</v>
      </c>
      <c r="D199" s="125"/>
      <c r="E199" s="126">
        <f>6.9*5.3</f>
        <v>36.57</v>
      </c>
      <c r="F199" s="100"/>
      <c r="G199" s="101"/>
      <c r="H199" s="116"/>
      <c r="I199" s="113"/>
      <c r="J199" s="111"/>
    </row>
    <row r="200" spans="1:10" ht="22.5" x14ac:dyDescent="0.2">
      <c r="A200" s="96">
        <v>49</v>
      </c>
      <c r="B200" s="120" t="s">
        <v>202</v>
      </c>
      <c r="C200" s="107" t="s">
        <v>203</v>
      </c>
      <c r="D200" s="99" t="s">
        <v>86</v>
      </c>
      <c r="E200" s="109">
        <f>SUM(E201:E209)</f>
        <v>201</v>
      </c>
      <c r="F200" s="100">
        <v>99</v>
      </c>
      <c r="G200" s="101">
        <f t="shared" ref="G200" si="20">E200*F200</f>
        <v>19899</v>
      </c>
      <c r="H200" s="138"/>
      <c r="I200" s="113"/>
      <c r="J200" s="111"/>
    </row>
    <row r="201" spans="1:10" x14ac:dyDescent="0.2">
      <c r="A201" s="96"/>
      <c r="B201" s="120"/>
      <c r="C201" s="124" t="s">
        <v>608</v>
      </c>
      <c r="D201" s="125"/>
      <c r="E201" s="126">
        <f>(6.9+3.2)*2</f>
        <v>20.200000000000003</v>
      </c>
      <c r="F201" s="100"/>
      <c r="G201" s="101"/>
      <c r="H201" s="116"/>
      <c r="I201" s="113"/>
      <c r="J201" s="111"/>
    </row>
    <row r="202" spans="1:10" x14ac:dyDescent="0.2">
      <c r="A202" s="96"/>
      <c r="B202" s="120"/>
      <c r="C202" s="124" t="s">
        <v>609</v>
      </c>
      <c r="D202" s="125"/>
      <c r="E202" s="126">
        <f>(6.9+4.6)*2</f>
        <v>23</v>
      </c>
      <c r="F202" s="100"/>
      <c r="G202" s="101"/>
      <c r="H202" s="116"/>
      <c r="I202" s="113"/>
      <c r="J202" s="111"/>
    </row>
    <row r="203" spans="1:10" x14ac:dyDescent="0.2">
      <c r="A203" s="96"/>
      <c r="B203" s="120"/>
      <c r="C203" s="124" t="s">
        <v>610</v>
      </c>
      <c r="D203" s="125"/>
      <c r="E203" s="126">
        <f>(6.9+2.8)*2</f>
        <v>19.399999999999999</v>
      </c>
      <c r="F203" s="100"/>
      <c r="G203" s="101"/>
      <c r="H203" s="116"/>
      <c r="I203" s="113"/>
      <c r="J203" s="111"/>
    </row>
    <row r="204" spans="1:10" x14ac:dyDescent="0.2">
      <c r="A204" s="96"/>
      <c r="B204" s="120"/>
      <c r="C204" s="124" t="s">
        <v>611</v>
      </c>
      <c r="D204" s="125"/>
      <c r="E204" s="126">
        <f>(6.9+2.7)*2</f>
        <v>19.200000000000003</v>
      </c>
      <c r="F204" s="100"/>
      <c r="G204" s="101"/>
      <c r="H204" s="116"/>
      <c r="I204" s="113"/>
      <c r="J204" s="111"/>
    </row>
    <row r="205" spans="1:10" x14ac:dyDescent="0.2">
      <c r="A205" s="96"/>
      <c r="B205" s="120"/>
      <c r="C205" s="124" t="s">
        <v>612</v>
      </c>
      <c r="D205" s="125"/>
      <c r="E205" s="126">
        <f>(6.9+8.5)*2</f>
        <v>30.8</v>
      </c>
      <c r="F205" s="100"/>
      <c r="G205" s="101"/>
      <c r="H205" s="116"/>
      <c r="I205" s="113"/>
      <c r="J205" s="111"/>
    </row>
    <row r="206" spans="1:10" x14ac:dyDescent="0.2">
      <c r="A206" s="96"/>
      <c r="B206" s="120"/>
      <c r="C206" s="124" t="s">
        <v>613</v>
      </c>
      <c r="D206" s="125"/>
      <c r="E206" s="126">
        <f>(6.9+3.7)*2</f>
        <v>21.200000000000003</v>
      </c>
      <c r="F206" s="100"/>
      <c r="G206" s="101"/>
      <c r="H206" s="116"/>
      <c r="I206" s="113"/>
      <c r="J206" s="111"/>
    </row>
    <row r="207" spans="1:10" x14ac:dyDescent="0.2">
      <c r="A207" s="96"/>
      <c r="B207" s="120"/>
      <c r="C207" s="124" t="s">
        <v>614</v>
      </c>
      <c r="D207" s="125"/>
      <c r="E207" s="126">
        <f>(6.9+3.7)*2</f>
        <v>21.200000000000003</v>
      </c>
      <c r="F207" s="100"/>
      <c r="G207" s="101"/>
      <c r="H207" s="116"/>
      <c r="I207" s="113"/>
      <c r="J207" s="111"/>
    </row>
    <row r="208" spans="1:10" x14ac:dyDescent="0.2">
      <c r="A208" s="96"/>
      <c r="B208" s="120"/>
      <c r="C208" s="124" t="s">
        <v>615</v>
      </c>
      <c r="D208" s="125"/>
      <c r="E208" s="126">
        <f>(6.9+3.9)*2</f>
        <v>21.6</v>
      </c>
      <c r="F208" s="100"/>
      <c r="G208" s="101"/>
      <c r="H208" s="116"/>
      <c r="I208" s="113"/>
      <c r="J208" s="111"/>
    </row>
    <row r="209" spans="1:10" x14ac:dyDescent="0.2">
      <c r="A209" s="96"/>
      <c r="B209" s="120"/>
      <c r="C209" s="124" t="s">
        <v>616</v>
      </c>
      <c r="D209" s="125"/>
      <c r="E209" s="126">
        <f>(6.9+5.3)*2</f>
        <v>24.4</v>
      </c>
      <c r="F209" s="100"/>
      <c r="G209" s="101"/>
      <c r="H209" s="116"/>
      <c r="I209" s="113"/>
      <c r="J209" s="111"/>
    </row>
    <row r="210" spans="1:10" x14ac:dyDescent="0.2">
      <c r="A210" s="102"/>
      <c r="B210" s="121" t="s">
        <v>81</v>
      </c>
      <c r="C210" s="104" t="str">
        <f>CONCATENATE(B189," ",C189)</f>
        <v>766 Konstrukce truhlářské</v>
      </c>
      <c r="D210" s="102"/>
      <c r="E210" s="118"/>
      <c r="F210" s="105"/>
      <c r="G210" s="106">
        <f>SUM(G189:G209)</f>
        <v>231867.00000000003</v>
      </c>
      <c r="I210" s="114"/>
      <c r="J210" s="111"/>
    </row>
    <row r="211" spans="1:10" x14ac:dyDescent="0.2">
      <c r="A211" s="90" t="s">
        <v>58</v>
      </c>
      <c r="B211" s="119" t="s">
        <v>208</v>
      </c>
      <c r="C211" s="92" t="s">
        <v>209</v>
      </c>
      <c r="D211" s="93"/>
      <c r="E211" s="117"/>
      <c r="F211" s="94"/>
      <c r="G211" s="95"/>
      <c r="I211" s="112"/>
      <c r="J211" s="111"/>
    </row>
    <row r="212" spans="1:10" x14ac:dyDescent="0.2">
      <c r="A212" s="96">
        <v>50</v>
      </c>
      <c r="B212" s="120" t="s">
        <v>210</v>
      </c>
      <c r="C212" s="98" t="s">
        <v>211</v>
      </c>
      <c r="D212" s="99" t="s">
        <v>63</v>
      </c>
      <c r="E212" s="109">
        <f>SUM(E213:E219)</f>
        <v>212.52</v>
      </c>
      <c r="F212" s="100">
        <v>54</v>
      </c>
      <c r="G212" s="101">
        <f>E212*F212</f>
        <v>11476.08</v>
      </c>
      <c r="H212" s="116"/>
      <c r="I212" s="112"/>
      <c r="J212" s="111"/>
    </row>
    <row r="213" spans="1:10" x14ac:dyDescent="0.2">
      <c r="A213" s="96"/>
      <c r="B213" s="120"/>
      <c r="C213" s="124" t="s">
        <v>579</v>
      </c>
      <c r="D213" s="125"/>
      <c r="E213" s="126">
        <f>6.9*3.2</f>
        <v>22.080000000000002</v>
      </c>
      <c r="F213" s="100"/>
      <c r="G213" s="101"/>
      <c r="H213" s="116"/>
      <c r="I213" s="112"/>
      <c r="J213" s="111"/>
    </row>
    <row r="214" spans="1:10" x14ac:dyDescent="0.2">
      <c r="A214" s="96"/>
      <c r="B214" s="120"/>
      <c r="C214" s="124" t="s">
        <v>580</v>
      </c>
      <c r="D214" s="125"/>
      <c r="E214" s="126">
        <f>6.9*4.6</f>
        <v>31.74</v>
      </c>
      <c r="F214" s="100"/>
      <c r="G214" s="101"/>
      <c r="H214" s="116"/>
      <c r="I214" s="112"/>
      <c r="J214" s="111"/>
    </row>
    <row r="215" spans="1:10" x14ac:dyDescent="0.2">
      <c r="A215" s="96"/>
      <c r="B215" s="120"/>
      <c r="C215" s="124" t="s">
        <v>581</v>
      </c>
      <c r="D215" s="125"/>
      <c r="E215" s="126">
        <f>6.9*2.8</f>
        <v>19.32</v>
      </c>
      <c r="F215" s="100"/>
      <c r="G215" s="101"/>
      <c r="H215" s="116"/>
      <c r="I215" s="112"/>
      <c r="J215" s="111"/>
    </row>
    <row r="216" spans="1:10" x14ac:dyDescent="0.2">
      <c r="A216" s="96"/>
      <c r="B216" s="120"/>
      <c r="C216" s="124" t="s">
        <v>582</v>
      </c>
      <c r="D216" s="125"/>
      <c r="E216" s="126">
        <f>6.9*2.7</f>
        <v>18.630000000000003</v>
      </c>
      <c r="F216" s="100"/>
      <c r="G216" s="101"/>
      <c r="H216" s="116"/>
      <c r="I216" s="112"/>
      <c r="J216" s="111"/>
    </row>
    <row r="217" spans="1:10" x14ac:dyDescent="0.2">
      <c r="A217" s="96"/>
      <c r="B217" s="120"/>
      <c r="C217" s="124" t="s">
        <v>583</v>
      </c>
      <c r="D217" s="125"/>
      <c r="E217" s="126">
        <f>6.9*8.5</f>
        <v>58.650000000000006</v>
      </c>
      <c r="F217" s="100"/>
      <c r="G217" s="101"/>
      <c r="H217" s="116"/>
      <c r="I217" s="112"/>
      <c r="J217" s="111"/>
    </row>
    <row r="218" spans="1:10" x14ac:dyDescent="0.2">
      <c r="A218" s="96"/>
      <c r="B218" s="120"/>
      <c r="C218" s="124" t="s">
        <v>585</v>
      </c>
      <c r="D218" s="125"/>
      <c r="E218" s="126">
        <f>6.9*3.7</f>
        <v>25.53</v>
      </c>
      <c r="F218" s="100"/>
      <c r="G218" s="101"/>
      <c r="H218" s="116"/>
      <c r="I218" s="112"/>
      <c r="J218" s="111"/>
    </row>
    <row r="219" spans="1:10" x14ac:dyDescent="0.2">
      <c r="A219" s="96"/>
      <c r="B219" s="120"/>
      <c r="C219" s="124" t="s">
        <v>587</v>
      </c>
      <c r="D219" s="125"/>
      <c r="E219" s="126">
        <f>6.9*5.3</f>
        <v>36.57</v>
      </c>
      <c r="F219" s="100"/>
      <c r="G219" s="101"/>
      <c r="H219" s="116"/>
      <c r="I219" s="112"/>
      <c r="J219" s="111"/>
    </row>
    <row r="220" spans="1:10" x14ac:dyDescent="0.2">
      <c r="A220" s="102"/>
      <c r="B220" s="121" t="s">
        <v>81</v>
      </c>
      <c r="C220" s="104" t="str">
        <f>CONCATENATE(B211," ",C211)</f>
        <v>776 Podlahy povlakové</v>
      </c>
      <c r="D220" s="102"/>
      <c r="E220" s="118"/>
      <c r="F220" s="105"/>
      <c r="G220" s="106">
        <f>SUM(G211:G219)</f>
        <v>11476.08</v>
      </c>
      <c r="I220" s="114"/>
      <c r="J220" s="111"/>
    </row>
    <row r="221" spans="1:10" x14ac:dyDescent="0.2">
      <c r="A221" s="90" t="s">
        <v>58</v>
      </c>
      <c r="B221" s="119" t="s">
        <v>212</v>
      </c>
      <c r="C221" s="92" t="s">
        <v>378</v>
      </c>
      <c r="D221" s="93"/>
      <c r="E221" s="117"/>
      <c r="F221" s="94"/>
      <c r="G221" s="95"/>
      <c r="I221" s="114"/>
      <c r="J221" s="111"/>
    </row>
    <row r="222" spans="1:10" x14ac:dyDescent="0.2">
      <c r="A222" s="96">
        <v>51</v>
      </c>
      <c r="B222" s="120" t="s">
        <v>214</v>
      </c>
      <c r="C222" s="98" t="s">
        <v>379</v>
      </c>
      <c r="D222" s="99" t="s">
        <v>63</v>
      </c>
      <c r="E222" s="109">
        <f>SUM(E223:E225)</f>
        <v>8</v>
      </c>
      <c r="F222" s="100">
        <v>1110</v>
      </c>
      <c r="G222" s="101">
        <f>E222*F222</f>
        <v>8880</v>
      </c>
      <c r="H222" s="136"/>
      <c r="I222" s="114"/>
      <c r="J222" s="111"/>
    </row>
    <row r="223" spans="1:10" x14ac:dyDescent="0.2">
      <c r="A223" s="96"/>
      <c r="B223" s="120"/>
      <c r="C223" s="124"/>
      <c r="D223" s="125"/>
      <c r="E223" s="126"/>
      <c r="F223" s="100"/>
      <c r="G223" s="101"/>
      <c r="I223" s="114"/>
      <c r="J223" s="111"/>
    </row>
    <row r="224" spans="1:10" x14ac:dyDescent="0.2">
      <c r="A224" s="96"/>
      <c r="B224" s="120"/>
      <c r="C224" s="124" t="s">
        <v>617</v>
      </c>
      <c r="D224" s="125"/>
      <c r="E224" s="126">
        <f>2*2</f>
        <v>4</v>
      </c>
      <c r="F224" s="100"/>
      <c r="G224" s="101"/>
      <c r="I224" s="114"/>
      <c r="J224" s="111"/>
    </row>
    <row r="225" spans="1:10" x14ac:dyDescent="0.2">
      <c r="A225" s="96"/>
      <c r="B225" s="120"/>
      <c r="C225" s="124" t="s">
        <v>618</v>
      </c>
      <c r="D225" s="125"/>
      <c r="E225" s="126">
        <f>2*2</f>
        <v>4</v>
      </c>
      <c r="F225" s="100"/>
      <c r="G225" s="101"/>
      <c r="I225" s="114"/>
      <c r="J225" s="111"/>
    </row>
    <row r="226" spans="1:10" ht="22.5" x14ac:dyDescent="0.2">
      <c r="A226" s="96">
        <v>52</v>
      </c>
      <c r="B226" s="120" t="s">
        <v>217</v>
      </c>
      <c r="C226" s="98" t="s">
        <v>218</v>
      </c>
      <c r="D226" s="99" t="s">
        <v>63</v>
      </c>
      <c r="E226" s="109">
        <f>SUM(E227:E235)</f>
        <v>22.88</v>
      </c>
      <c r="F226" s="100">
        <v>2850</v>
      </c>
      <c r="G226" s="101">
        <f>E226*F226</f>
        <v>65208</v>
      </c>
      <c r="I226" s="114"/>
      <c r="J226" s="111"/>
    </row>
    <row r="227" spans="1:10" x14ac:dyDescent="0.2">
      <c r="A227" s="96"/>
      <c r="B227" s="120"/>
      <c r="C227" s="124" t="s">
        <v>533</v>
      </c>
      <c r="D227" s="125"/>
      <c r="E227" s="126">
        <f>1.6*1.3</f>
        <v>2.08</v>
      </c>
      <c r="F227" s="100"/>
      <c r="G227" s="101"/>
      <c r="I227" s="114"/>
      <c r="J227" s="111"/>
    </row>
    <row r="228" spans="1:10" x14ac:dyDescent="0.2">
      <c r="A228" s="96"/>
      <c r="B228" s="120"/>
      <c r="C228" s="124" t="s">
        <v>534</v>
      </c>
      <c r="D228" s="125"/>
      <c r="E228" s="126">
        <f>1.6*1.3</f>
        <v>2.08</v>
      </c>
      <c r="F228" s="100"/>
      <c r="G228" s="101"/>
      <c r="I228" s="114"/>
      <c r="J228" s="111"/>
    </row>
    <row r="229" spans="1:10" x14ac:dyDescent="0.2">
      <c r="A229" s="96"/>
      <c r="B229" s="120"/>
      <c r="C229" s="124" t="s">
        <v>619</v>
      </c>
      <c r="D229" s="125"/>
      <c r="E229" s="126">
        <f>1.6*1.3</f>
        <v>2.08</v>
      </c>
      <c r="F229" s="100"/>
      <c r="G229" s="101"/>
      <c r="I229" s="114"/>
      <c r="J229" s="111"/>
    </row>
    <row r="230" spans="1:10" x14ac:dyDescent="0.2">
      <c r="A230" s="96"/>
      <c r="B230" s="120"/>
      <c r="C230" s="124" t="s">
        <v>536</v>
      </c>
      <c r="D230" s="125"/>
      <c r="E230" s="126">
        <f>1.6*1.3</f>
        <v>2.08</v>
      </c>
      <c r="F230" s="100"/>
      <c r="G230" s="101"/>
      <c r="I230" s="114"/>
      <c r="J230" s="111"/>
    </row>
    <row r="231" spans="1:10" x14ac:dyDescent="0.2">
      <c r="A231" s="96"/>
      <c r="B231" s="120"/>
      <c r="C231" s="124" t="s">
        <v>620</v>
      </c>
      <c r="D231" s="125"/>
      <c r="E231" s="126">
        <f>1.6*1.3*2</f>
        <v>4.16</v>
      </c>
      <c r="F231" s="100"/>
      <c r="G231" s="101"/>
      <c r="I231" s="114"/>
      <c r="J231" s="111"/>
    </row>
    <row r="232" spans="1:10" x14ac:dyDescent="0.2">
      <c r="A232" s="96"/>
      <c r="B232" s="120"/>
      <c r="C232" s="124" t="s">
        <v>538</v>
      </c>
      <c r="D232" s="125"/>
      <c r="E232" s="126">
        <f>1.6*1.3</f>
        <v>2.08</v>
      </c>
      <c r="F232" s="100"/>
      <c r="G232" s="101"/>
      <c r="I232" s="114"/>
      <c r="J232" s="111"/>
    </row>
    <row r="233" spans="1:10" x14ac:dyDescent="0.2">
      <c r="A233" s="96"/>
      <c r="B233" s="120"/>
      <c r="C233" s="124" t="s">
        <v>539</v>
      </c>
      <c r="D233" s="125"/>
      <c r="E233" s="126">
        <f>1.6*1.3</f>
        <v>2.08</v>
      </c>
      <c r="F233" s="100"/>
      <c r="G233" s="101"/>
      <c r="I233" s="114"/>
      <c r="J233" s="111"/>
    </row>
    <row r="234" spans="1:10" x14ac:dyDescent="0.2">
      <c r="A234" s="96"/>
      <c r="B234" s="120"/>
      <c r="C234" s="124" t="s">
        <v>540</v>
      </c>
      <c r="D234" s="125"/>
      <c r="E234" s="126">
        <f>1.6*1.3</f>
        <v>2.08</v>
      </c>
      <c r="F234" s="100"/>
      <c r="G234" s="101"/>
      <c r="I234" s="114"/>
      <c r="J234" s="111"/>
    </row>
    <row r="235" spans="1:10" x14ac:dyDescent="0.2">
      <c r="A235" s="96"/>
      <c r="B235" s="120"/>
      <c r="C235" s="124" t="s">
        <v>621</v>
      </c>
      <c r="D235" s="125"/>
      <c r="E235" s="126">
        <f>1.6*1.3*2</f>
        <v>4.16</v>
      </c>
      <c r="F235" s="100"/>
      <c r="G235" s="101"/>
      <c r="I235" s="114"/>
      <c r="J235" s="111"/>
    </row>
    <row r="236" spans="1:10" x14ac:dyDescent="0.2">
      <c r="A236" s="102"/>
      <c r="B236" s="121" t="s">
        <v>81</v>
      </c>
      <c r="C236" s="104" t="str">
        <f>CONCATENATE(B221," ",C221)</f>
        <v>781 Obklady keramické</v>
      </c>
      <c r="D236" s="102"/>
      <c r="E236" s="118"/>
      <c r="F236" s="105"/>
      <c r="G236" s="106">
        <f>SUM(G221:G235)</f>
        <v>74088</v>
      </c>
      <c r="I236" s="114"/>
      <c r="J236" s="111"/>
    </row>
    <row r="237" spans="1:10" x14ac:dyDescent="0.2">
      <c r="A237" s="90" t="s">
        <v>58</v>
      </c>
      <c r="B237" s="119" t="s">
        <v>223</v>
      </c>
      <c r="C237" s="92" t="s">
        <v>224</v>
      </c>
      <c r="D237" s="93"/>
      <c r="E237" s="117"/>
      <c r="F237" s="94"/>
      <c r="G237" s="95"/>
      <c r="I237" s="112"/>
      <c r="J237" s="111"/>
    </row>
    <row r="238" spans="1:10" ht="22.5" x14ac:dyDescent="0.2">
      <c r="A238" s="96">
        <v>53</v>
      </c>
      <c r="B238" s="120" t="s">
        <v>225</v>
      </c>
      <c r="C238" s="98" t="s">
        <v>226</v>
      </c>
      <c r="D238" s="99" t="s">
        <v>63</v>
      </c>
      <c r="E238" s="109">
        <f>SUM(E239:E247)</f>
        <v>264.96000000000004</v>
      </c>
      <c r="F238" s="100">
        <v>650</v>
      </c>
      <c r="G238" s="101">
        <f>E238*F238</f>
        <v>172224.00000000003</v>
      </c>
      <c r="I238" s="113"/>
      <c r="J238" s="111"/>
    </row>
    <row r="239" spans="1:10" x14ac:dyDescent="0.2">
      <c r="A239" s="96"/>
      <c r="B239" s="120"/>
      <c r="C239" s="124" t="s">
        <v>579</v>
      </c>
      <c r="D239" s="125"/>
      <c r="E239" s="126">
        <f>6.9*3.2</f>
        <v>22.080000000000002</v>
      </c>
      <c r="F239" s="100"/>
      <c r="G239" s="101"/>
      <c r="I239" s="113"/>
      <c r="J239" s="111"/>
    </row>
    <row r="240" spans="1:10" x14ac:dyDescent="0.2">
      <c r="A240" s="96"/>
      <c r="B240" s="120"/>
      <c r="C240" s="124" t="s">
        <v>580</v>
      </c>
      <c r="D240" s="125"/>
      <c r="E240" s="126">
        <f>6.9*4.6</f>
        <v>31.74</v>
      </c>
      <c r="F240" s="100"/>
      <c r="G240" s="101"/>
      <c r="I240" s="113"/>
      <c r="J240" s="111"/>
    </row>
    <row r="241" spans="1:10" x14ac:dyDescent="0.2">
      <c r="A241" s="96"/>
      <c r="B241" s="120"/>
      <c r="C241" s="124" t="s">
        <v>581</v>
      </c>
      <c r="D241" s="125"/>
      <c r="E241" s="126">
        <f>6.9*2.8</f>
        <v>19.32</v>
      </c>
      <c r="F241" s="100"/>
      <c r="G241" s="101"/>
      <c r="I241" s="113"/>
      <c r="J241" s="111"/>
    </row>
    <row r="242" spans="1:10" x14ac:dyDescent="0.2">
      <c r="A242" s="96"/>
      <c r="B242" s="120"/>
      <c r="C242" s="124" t="s">
        <v>582</v>
      </c>
      <c r="D242" s="125"/>
      <c r="E242" s="126">
        <f>6.9*2.7</f>
        <v>18.630000000000003</v>
      </c>
      <c r="F242" s="100"/>
      <c r="G242" s="101"/>
      <c r="I242" s="113"/>
      <c r="J242" s="111"/>
    </row>
    <row r="243" spans="1:10" x14ac:dyDescent="0.2">
      <c r="A243" s="96"/>
      <c r="B243" s="120"/>
      <c r="C243" s="124" t="s">
        <v>583</v>
      </c>
      <c r="D243" s="125"/>
      <c r="E243" s="126">
        <f>6.9*8.5</f>
        <v>58.650000000000006</v>
      </c>
      <c r="F243" s="100"/>
      <c r="G243" s="101"/>
      <c r="I243" s="113"/>
      <c r="J243" s="111"/>
    </row>
    <row r="244" spans="1:10" x14ac:dyDescent="0.2">
      <c r="A244" s="96"/>
      <c r="B244" s="120"/>
      <c r="C244" s="124" t="s">
        <v>584</v>
      </c>
      <c r="D244" s="125"/>
      <c r="E244" s="126">
        <f>6.9*3.7</f>
        <v>25.53</v>
      </c>
      <c r="F244" s="100"/>
      <c r="G244" s="101"/>
      <c r="I244" s="113"/>
      <c r="J244" s="111"/>
    </row>
    <row r="245" spans="1:10" x14ac:dyDescent="0.2">
      <c r="A245" s="96"/>
      <c r="B245" s="120"/>
      <c r="C245" s="124" t="s">
        <v>585</v>
      </c>
      <c r="D245" s="125"/>
      <c r="E245" s="126">
        <f>6.9*3.7</f>
        <v>25.53</v>
      </c>
      <c r="F245" s="100"/>
      <c r="G245" s="101"/>
      <c r="I245" s="113"/>
      <c r="J245" s="111"/>
    </row>
    <row r="246" spans="1:10" x14ac:dyDescent="0.2">
      <c r="A246" s="96"/>
      <c r="B246" s="120"/>
      <c r="C246" s="124" t="s">
        <v>586</v>
      </c>
      <c r="D246" s="125"/>
      <c r="E246" s="126">
        <f>6.9*3.9</f>
        <v>26.91</v>
      </c>
      <c r="F246" s="100"/>
      <c r="G246" s="101"/>
      <c r="I246" s="113"/>
      <c r="J246" s="111"/>
    </row>
    <row r="247" spans="1:10" x14ac:dyDescent="0.2">
      <c r="A247" s="96"/>
      <c r="B247" s="120"/>
      <c r="C247" s="124" t="s">
        <v>587</v>
      </c>
      <c r="D247" s="125"/>
      <c r="E247" s="126">
        <f>6.9*5.3</f>
        <v>36.57</v>
      </c>
      <c r="F247" s="100"/>
      <c r="G247" s="101"/>
      <c r="I247" s="113"/>
      <c r="J247" s="111"/>
    </row>
    <row r="248" spans="1:10" x14ac:dyDescent="0.2">
      <c r="A248" s="102"/>
      <c r="B248" s="121" t="s">
        <v>81</v>
      </c>
      <c r="C248" s="104" t="str">
        <f>CONCATENATE(B237," ",C237)</f>
        <v>783 Nátěry</v>
      </c>
      <c r="D248" s="102"/>
      <c r="E248" s="118"/>
      <c r="F248" s="105"/>
      <c r="G248" s="106">
        <f>SUM(G237:G247)</f>
        <v>172224.00000000003</v>
      </c>
      <c r="I248" s="114"/>
      <c r="J248" s="111"/>
    </row>
    <row r="249" spans="1:10" x14ac:dyDescent="0.2">
      <c r="A249" s="90" t="s">
        <v>58</v>
      </c>
      <c r="B249" s="119" t="s">
        <v>230</v>
      </c>
      <c r="C249" s="92" t="s">
        <v>231</v>
      </c>
      <c r="D249" s="93"/>
      <c r="E249" s="117"/>
      <c r="F249" s="94"/>
      <c r="G249" s="95"/>
      <c r="I249" s="112"/>
      <c r="J249" s="111"/>
    </row>
    <row r="250" spans="1:10" x14ac:dyDescent="0.2">
      <c r="A250" s="96">
        <v>54</v>
      </c>
      <c r="B250" s="97" t="s">
        <v>232</v>
      </c>
      <c r="C250" s="98" t="s">
        <v>233</v>
      </c>
      <c r="D250" s="99" t="s">
        <v>63</v>
      </c>
      <c r="E250" s="109">
        <f>SUM(E251:E259)</f>
        <v>911.68</v>
      </c>
      <c r="F250" s="100">
        <v>40</v>
      </c>
      <c r="G250" s="101">
        <f>E250*F250</f>
        <v>36467.199999999997</v>
      </c>
      <c r="H250" s="116"/>
      <c r="I250" s="112"/>
      <c r="J250" s="111"/>
    </row>
    <row r="251" spans="1:10" x14ac:dyDescent="0.2">
      <c r="A251" s="96"/>
      <c r="B251" s="97"/>
      <c r="C251" s="124" t="s">
        <v>622</v>
      </c>
      <c r="D251" s="125"/>
      <c r="E251" s="126">
        <f>6.9*3.2+(6.9+3.2)*2*3.3+(1.6+2*2)*0.5</f>
        <v>91.54</v>
      </c>
      <c r="F251" s="100"/>
      <c r="G251" s="101"/>
      <c r="H251" s="116"/>
      <c r="I251" s="112"/>
      <c r="J251" s="111"/>
    </row>
    <row r="252" spans="1:10" x14ac:dyDescent="0.2">
      <c r="A252" s="96"/>
      <c r="B252" s="97"/>
      <c r="C252" s="124" t="s">
        <v>623</v>
      </c>
      <c r="D252" s="125"/>
      <c r="E252" s="126">
        <f>6.9*4.6+(6.9+4.6)*2*3.3+(1.6+2*2)*0.5</f>
        <v>110.43999999999998</v>
      </c>
      <c r="F252" s="100"/>
      <c r="G252" s="101"/>
      <c r="H252" s="116"/>
      <c r="I252" s="112"/>
      <c r="J252" s="111"/>
    </row>
    <row r="253" spans="1:10" x14ac:dyDescent="0.2">
      <c r="A253" s="96"/>
      <c r="B253" s="97"/>
      <c r="C253" s="124" t="s">
        <v>624</v>
      </c>
      <c r="D253" s="125"/>
      <c r="E253" s="126">
        <f>6.9*2.8+(6.9+2.8)*2*3.3+(1.6+2*2)*0.5</f>
        <v>86.14</v>
      </c>
      <c r="F253" s="100"/>
      <c r="G253" s="101"/>
      <c r="H253" s="116"/>
      <c r="I253" s="112"/>
      <c r="J253" s="111"/>
    </row>
    <row r="254" spans="1:10" x14ac:dyDescent="0.2">
      <c r="A254" s="96"/>
      <c r="B254" s="97"/>
      <c r="C254" s="124" t="s">
        <v>625</v>
      </c>
      <c r="D254" s="125"/>
      <c r="E254" s="126">
        <f>6.9*2.7+(6.9+2.7)*2*3.3+(1.6+2*2)*2*0.5</f>
        <v>87.59</v>
      </c>
      <c r="F254" s="100"/>
      <c r="G254" s="101"/>
      <c r="H254" s="116"/>
      <c r="I254" s="112"/>
      <c r="J254" s="111"/>
    </row>
    <row r="255" spans="1:10" x14ac:dyDescent="0.2">
      <c r="A255" s="96"/>
      <c r="B255" s="97"/>
      <c r="C255" s="124" t="s">
        <v>626</v>
      </c>
      <c r="D255" s="125"/>
      <c r="E255" s="126">
        <f>6.9*8.5+(6.9+8.5)*2*3.4+(1.6+2*2)*2*0.5</f>
        <v>168.97</v>
      </c>
      <c r="F255" s="100"/>
      <c r="G255" s="101"/>
      <c r="H255" s="116"/>
      <c r="I255" s="112"/>
      <c r="J255" s="111"/>
    </row>
    <row r="256" spans="1:10" x14ac:dyDescent="0.2">
      <c r="A256" s="96"/>
      <c r="B256" s="97"/>
      <c r="C256" s="124" t="s">
        <v>627</v>
      </c>
      <c r="D256" s="125"/>
      <c r="E256" s="126">
        <f>(6.9+3.7)*2*3.4+(1.6+2*2)*0.5</f>
        <v>74.88000000000001</v>
      </c>
      <c r="F256" s="100"/>
      <c r="G256" s="101"/>
      <c r="H256" s="116"/>
      <c r="I256" s="112"/>
      <c r="J256" s="111"/>
    </row>
    <row r="257" spans="1:10" x14ac:dyDescent="0.2">
      <c r="A257" s="96"/>
      <c r="B257" s="97"/>
      <c r="C257" s="124" t="s">
        <v>628</v>
      </c>
      <c r="D257" s="125"/>
      <c r="E257" s="126">
        <f>6.9*3.7+(6.9+3.7)*2*3.4+(1.6+2*2)*0.5</f>
        <v>100.41000000000001</v>
      </c>
      <c r="F257" s="100"/>
      <c r="G257" s="101"/>
      <c r="H257" s="116"/>
      <c r="I257" s="112"/>
      <c r="J257" s="111"/>
    </row>
    <row r="258" spans="1:10" x14ac:dyDescent="0.2">
      <c r="A258" s="96"/>
      <c r="B258" s="97"/>
      <c r="C258" s="124" t="s">
        <v>629</v>
      </c>
      <c r="D258" s="125"/>
      <c r="E258" s="126">
        <f>6.9*3.9+(6.9+3.9)*2*3.4+(1.6+2*2)*0.5</f>
        <v>103.14999999999999</v>
      </c>
      <c r="F258" s="100"/>
      <c r="G258" s="101"/>
      <c r="H258" s="116"/>
      <c r="I258" s="112"/>
      <c r="J258" s="111"/>
    </row>
    <row r="259" spans="1:10" x14ac:dyDescent="0.2">
      <c r="A259" s="96"/>
      <c r="B259" s="97"/>
      <c r="C259" s="124" t="s">
        <v>630</v>
      </c>
      <c r="D259" s="125"/>
      <c r="E259" s="126">
        <f>(6.9+5.3)*2*3.4+(1.6+2*2)*2*0.5</f>
        <v>88.559999999999988</v>
      </c>
      <c r="F259" s="100"/>
      <c r="G259" s="101"/>
      <c r="H259" s="116"/>
      <c r="I259" s="112"/>
      <c r="J259" s="111"/>
    </row>
    <row r="260" spans="1:10" x14ac:dyDescent="0.2">
      <c r="A260" s="96">
        <v>55</v>
      </c>
      <c r="B260" s="120" t="s">
        <v>238</v>
      </c>
      <c r="C260" s="98" t="s">
        <v>239</v>
      </c>
      <c r="D260" s="99" t="s">
        <v>63</v>
      </c>
      <c r="E260" s="109">
        <f>SUM(E261:E269)</f>
        <v>911.68</v>
      </c>
      <c r="F260" s="100">
        <v>67</v>
      </c>
      <c r="G260" s="101">
        <f>E260*F260</f>
        <v>61082.559999999998</v>
      </c>
      <c r="H260" s="116"/>
      <c r="I260" s="113"/>
      <c r="J260" s="111"/>
    </row>
    <row r="261" spans="1:10" x14ac:dyDescent="0.2">
      <c r="A261" s="96"/>
      <c r="B261" s="120"/>
      <c r="C261" s="124" t="s">
        <v>622</v>
      </c>
      <c r="D261" s="125"/>
      <c r="E261" s="126">
        <f>6.9*3.2+(6.9+3.2)*2*3.3+(1.6+2*2)*0.5</f>
        <v>91.54</v>
      </c>
      <c r="F261" s="100"/>
      <c r="G261" s="101"/>
      <c r="H261" s="116"/>
      <c r="I261" s="113"/>
      <c r="J261" s="111"/>
    </row>
    <row r="262" spans="1:10" x14ac:dyDescent="0.2">
      <c r="A262" s="96"/>
      <c r="B262" s="120"/>
      <c r="C262" s="124" t="s">
        <v>623</v>
      </c>
      <c r="D262" s="125"/>
      <c r="E262" s="126">
        <f>6.9*4.6+(6.9+4.6)*2*3.3+(1.6+2*2)*0.5</f>
        <v>110.43999999999998</v>
      </c>
      <c r="F262" s="100"/>
      <c r="G262" s="101"/>
      <c r="H262" s="116"/>
      <c r="I262" s="113"/>
      <c r="J262" s="111"/>
    </row>
    <row r="263" spans="1:10" x14ac:dyDescent="0.2">
      <c r="A263" s="96"/>
      <c r="B263" s="120"/>
      <c r="C263" s="124" t="s">
        <v>624</v>
      </c>
      <c r="D263" s="125"/>
      <c r="E263" s="126">
        <f>6.9*2.8+(6.9+2.8)*2*3.3+(1.6+2*2)*0.5</f>
        <v>86.14</v>
      </c>
      <c r="F263" s="100"/>
      <c r="G263" s="101"/>
      <c r="H263" s="116"/>
      <c r="I263" s="113"/>
      <c r="J263" s="111"/>
    </row>
    <row r="264" spans="1:10" x14ac:dyDescent="0.2">
      <c r="A264" s="96"/>
      <c r="B264" s="120"/>
      <c r="C264" s="124" t="s">
        <v>625</v>
      </c>
      <c r="D264" s="125"/>
      <c r="E264" s="126">
        <f>6.9*2.7+(6.9+2.7)*2*3.3+(1.6+2*2)*2*0.5</f>
        <v>87.59</v>
      </c>
      <c r="F264" s="100"/>
      <c r="G264" s="101"/>
      <c r="H264" s="116"/>
      <c r="I264" s="113"/>
      <c r="J264" s="111"/>
    </row>
    <row r="265" spans="1:10" x14ac:dyDescent="0.2">
      <c r="A265" s="96"/>
      <c r="B265" s="120"/>
      <c r="C265" s="124" t="s">
        <v>626</v>
      </c>
      <c r="D265" s="125"/>
      <c r="E265" s="126">
        <f>6.9*8.5+(6.9+8.5)*2*3.4+(1.6+2*2)*2*0.5</f>
        <v>168.97</v>
      </c>
      <c r="F265" s="100"/>
      <c r="G265" s="101"/>
      <c r="H265" s="116"/>
      <c r="I265" s="113"/>
      <c r="J265" s="111"/>
    </row>
    <row r="266" spans="1:10" x14ac:dyDescent="0.2">
      <c r="A266" s="96"/>
      <c r="B266" s="120"/>
      <c r="C266" s="124" t="s">
        <v>627</v>
      </c>
      <c r="D266" s="125"/>
      <c r="E266" s="126">
        <f>(6.9+3.7)*2*3.4+(1.6+2*2)*0.5</f>
        <v>74.88000000000001</v>
      </c>
      <c r="F266" s="100"/>
      <c r="G266" s="101"/>
      <c r="H266" s="116"/>
      <c r="I266" s="113"/>
      <c r="J266" s="111"/>
    </row>
    <row r="267" spans="1:10" x14ac:dyDescent="0.2">
      <c r="A267" s="96"/>
      <c r="B267" s="120"/>
      <c r="C267" s="124" t="s">
        <v>628</v>
      </c>
      <c r="D267" s="125"/>
      <c r="E267" s="126">
        <f>6.9*3.7+(6.9+3.7)*2*3.4+(1.6+2*2)*0.5</f>
        <v>100.41000000000001</v>
      </c>
      <c r="F267" s="100"/>
      <c r="G267" s="101"/>
      <c r="H267" s="116"/>
      <c r="I267" s="113"/>
      <c r="J267" s="111"/>
    </row>
    <row r="268" spans="1:10" x14ac:dyDescent="0.2">
      <c r="A268" s="96"/>
      <c r="B268" s="120"/>
      <c r="C268" s="124" t="s">
        <v>629</v>
      </c>
      <c r="D268" s="125"/>
      <c r="E268" s="126">
        <f>6.9*3.9+(6.9+3.9)*2*3.4+(1.6+2*2)*0.5</f>
        <v>103.14999999999999</v>
      </c>
      <c r="F268" s="100"/>
      <c r="G268" s="101"/>
      <c r="H268" s="116"/>
      <c r="I268" s="113"/>
      <c r="J268" s="111"/>
    </row>
    <row r="269" spans="1:10" x14ac:dyDescent="0.2">
      <c r="A269" s="96"/>
      <c r="B269" s="120"/>
      <c r="C269" s="124" t="s">
        <v>630</v>
      </c>
      <c r="D269" s="125"/>
      <c r="E269" s="126">
        <f>(6.9+5.3)*2*3.4+(1.6+2*2)*2*0.5</f>
        <v>88.559999999999988</v>
      </c>
      <c r="F269" s="100"/>
      <c r="G269" s="101"/>
      <c r="H269" s="116"/>
      <c r="I269" s="113"/>
      <c r="J269" s="111"/>
    </row>
    <row r="270" spans="1:10" x14ac:dyDescent="0.2">
      <c r="A270" s="102"/>
      <c r="B270" s="121" t="s">
        <v>81</v>
      </c>
      <c r="C270" s="104" t="str">
        <f>CONCATENATE(B249," ",C249)</f>
        <v>784 Malby</v>
      </c>
      <c r="D270" s="102"/>
      <c r="E270" s="118"/>
      <c r="F270" s="105"/>
      <c r="G270" s="106">
        <f>SUM(G249:G269)</f>
        <v>97549.759999999995</v>
      </c>
      <c r="I270" s="114"/>
      <c r="J270" s="111"/>
    </row>
    <row r="271" spans="1:10" x14ac:dyDescent="0.2">
      <c r="A271" s="90" t="s">
        <v>58</v>
      </c>
      <c r="B271" s="91" t="s">
        <v>241</v>
      </c>
      <c r="C271" s="92" t="s">
        <v>242</v>
      </c>
      <c r="D271" s="93"/>
      <c r="E271" s="117"/>
      <c r="F271" s="94"/>
      <c r="G271" s="95"/>
      <c r="I271" s="112"/>
      <c r="J271" s="111"/>
    </row>
    <row r="272" spans="1:10" x14ac:dyDescent="0.2">
      <c r="A272" s="96">
        <v>56</v>
      </c>
      <c r="B272" s="97" t="s">
        <v>243</v>
      </c>
      <c r="C272" s="98" t="s">
        <v>244</v>
      </c>
      <c r="D272" s="99" t="s">
        <v>135</v>
      </c>
      <c r="E272" s="109">
        <v>1</v>
      </c>
      <c r="F272" s="109">
        <v>893324.0299999998</v>
      </c>
      <c r="G272" s="101">
        <f>E272*F272</f>
        <v>893324.0299999998</v>
      </c>
      <c r="I272" s="113"/>
      <c r="J272" s="111"/>
    </row>
    <row r="273" spans="1:10" x14ac:dyDescent="0.2">
      <c r="A273" s="96">
        <v>57</v>
      </c>
      <c r="B273" s="97" t="s">
        <v>245</v>
      </c>
      <c r="C273" s="107" t="s">
        <v>246</v>
      </c>
      <c r="D273" s="99" t="s">
        <v>135</v>
      </c>
      <c r="E273" s="109">
        <v>1</v>
      </c>
      <c r="F273" s="109">
        <v>919409.99364000035</v>
      </c>
      <c r="G273" s="101">
        <f t="shared" ref="G273:G279" si="21">E273*F273</f>
        <v>919409.99364000035</v>
      </c>
      <c r="I273" s="113"/>
      <c r="J273" s="111"/>
    </row>
    <row r="274" spans="1:10" x14ac:dyDescent="0.2">
      <c r="A274" s="96">
        <v>58</v>
      </c>
      <c r="B274" s="97" t="s">
        <v>306</v>
      </c>
      <c r="C274" s="107" t="s">
        <v>631</v>
      </c>
      <c r="D274" s="99" t="s">
        <v>63</v>
      </c>
      <c r="E274" s="109">
        <v>36.9</v>
      </c>
      <c r="F274" s="109">
        <v>1237.5</v>
      </c>
      <c r="G274" s="101">
        <f t="shared" ref="G274:G276" si="22">E274*F274</f>
        <v>45663.75</v>
      </c>
      <c r="I274" s="113"/>
      <c r="J274" s="111"/>
    </row>
    <row r="275" spans="1:10" x14ac:dyDescent="0.2">
      <c r="A275" s="96">
        <v>59</v>
      </c>
      <c r="B275" s="97" t="s">
        <v>249</v>
      </c>
      <c r="C275" s="107" t="s">
        <v>311</v>
      </c>
      <c r="D275" s="99" t="s">
        <v>63</v>
      </c>
      <c r="E275" s="109">
        <v>17</v>
      </c>
      <c r="F275" s="109">
        <v>7083</v>
      </c>
      <c r="G275" s="101">
        <f t="shared" si="22"/>
        <v>120411</v>
      </c>
      <c r="I275" s="113"/>
      <c r="J275" s="111"/>
    </row>
    <row r="276" spans="1:10" ht="45" x14ac:dyDescent="0.2">
      <c r="A276" s="96">
        <v>60</v>
      </c>
      <c r="B276" s="97" t="s">
        <v>251</v>
      </c>
      <c r="C276" s="107" t="s">
        <v>312</v>
      </c>
      <c r="D276" s="99" t="s">
        <v>135</v>
      </c>
      <c r="E276" s="109">
        <v>1</v>
      </c>
      <c r="F276" s="109">
        <v>52500</v>
      </c>
      <c r="G276" s="101">
        <f t="shared" si="22"/>
        <v>52500</v>
      </c>
      <c r="I276" s="113"/>
      <c r="J276" s="111"/>
    </row>
    <row r="277" spans="1:10" s="192" customFormat="1" ht="22.5" x14ac:dyDescent="0.2">
      <c r="A277" s="186">
        <v>61</v>
      </c>
      <c r="B277" s="187" t="s">
        <v>313</v>
      </c>
      <c r="C277" s="188" t="s">
        <v>248</v>
      </c>
      <c r="D277" s="189" t="s">
        <v>135</v>
      </c>
      <c r="E277" s="190">
        <v>0</v>
      </c>
      <c r="F277" s="190">
        <v>0</v>
      </c>
      <c r="G277" s="191">
        <f t="shared" si="21"/>
        <v>0</v>
      </c>
      <c r="I277" s="193"/>
      <c r="J277" s="194"/>
    </row>
    <row r="278" spans="1:10" ht="22.5" x14ac:dyDescent="0.2">
      <c r="A278" s="96">
        <v>62</v>
      </c>
      <c r="B278" s="97" t="s">
        <v>314</v>
      </c>
      <c r="C278" s="98" t="s">
        <v>250</v>
      </c>
      <c r="D278" s="99" t="s">
        <v>229</v>
      </c>
      <c r="E278" s="109">
        <v>18</v>
      </c>
      <c r="F278" s="109">
        <v>1500</v>
      </c>
      <c r="G278" s="101">
        <f t="shared" si="21"/>
        <v>27000</v>
      </c>
      <c r="I278" s="113"/>
      <c r="J278" s="111"/>
    </row>
    <row r="279" spans="1:10" x14ac:dyDescent="0.2">
      <c r="A279" s="96">
        <v>63</v>
      </c>
      <c r="B279" s="97" t="s">
        <v>315</v>
      </c>
      <c r="C279" s="98" t="s">
        <v>252</v>
      </c>
      <c r="D279" s="99" t="s">
        <v>175</v>
      </c>
      <c r="E279" s="109">
        <v>36</v>
      </c>
      <c r="F279" s="109">
        <v>500</v>
      </c>
      <c r="G279" s="101">
        <f t="shared" si="21"/>
        <v>18000</v>
      </c>
      <c r="I279" s="113"/>
      <c r="J279" s="111"/>
    </row>
    <row r="280" spans="1:10" x14ac:dyDescent="0.2">
      <c r="A280" s="102"/>
      <c r="B280" s="103" t="s">
        <v>81</v>
      </c>
      <c r="C280" s="104" t="str">
        <f>CONCATENATE(B271," ",C271)</f>
        <v>M21 Elektromontáže+akustika+audioviz. technika</v>
      </c>
      <c r="D280" s="102"/>
      <c r="E280" s="118"/>
      <c r="F280" s="105"/>
      <c r="G280" s="106">
        <f>SUM(G271:G279)</f>
        <v>2076308.7736400003</v>
      </c>
      <c r="I280" s="113"/>
      <c r="J280" s="111"/>
    </row>
    <row r="281" spans="1:10" x14ac:dyDescent="0.2">
      <c r="E281" s="74"/>
      <c r="H281" s="116"/>
      <c r="I281" s="113"/>
      <c r="J281" s="111"/>
    </row>
    <row r="282" spans="1:10" x14ac:dyDescent="0.2">
      <c r="A282" s="130"/>
      <c r="B282" s="131" t="s">
        <v>81</v>
      </c>
      <c r="C282" s="132"/>
      <c r="D282" s="130"/>
      <c r="E282" s="133"/>
      <c r="F282" s="134"/>
      <c r="G282" s="135">
        <f>G280+G270+G248+G236+G220+G210+G188+G185+G169+G162+G159+G124+G121+G106+G67+G18</f>
        <v>4858202.9936400009</v>
      </c>
      <c r="I282" s="114"/>
      <c r="J282" s="111"/>
    </row>
    <row r="283" spans="1:10" x14ac:dyDescent="0.2">
      <c r="C283" s="136"/>
      <c r="E283" s="74"/>
    </row>
    <row r="284" spans="1:10" x14ac:dyDescent="0.2">
      <c r="C284" s="136"/>
      <c r="E284" s="74"/>
    </row>
    <row r="285" spans="1:10" x14ac:dyDescent="0.2">
      <c r="E285" s="74"/>
    </row>
    <row r="286" spans="1:10" x14ac:dyDescent="0.2">
      <c r="E286" s="74"/>
    </row>
    <row r="287" spans="1:10" x14ac:dyDescent="0.2">
      <c r="C287" s="136"/>
      <c r="E287" s="74"/>
    </row>
    <row r="288" spans="1:10" x14ac:dyDescent="0.2">
      <c r="E288" s="74"/>
    </row>
    <row r="289" spans="5:5" x14ac:dyDescent="0.2">
      <c r="E289" s="74"/>
    </row>
    <row r="290" spans="5:5" x14ac:dyDescent="0.2">
      <c r="E290" s="74"/>
    </row>
    <row r="291" spans="5:5" x14ac:dyDescent="0.2">
      <c r="E291" s="74"/>
    </row>
    <row r="292" spans="5:5" x14ac:dyDescent="0.2">
      <c r="E292" s="74"/>
    </row>
    <row r="293" spans="5:5" x14ac:dyDescent="0.2">
      <c r="E293" s="74"/>
    </row>
    <row r="294" spans="5:5" x14ac:dyDescent="0.2">
      <c r="E294" s="74"/>
    </row>
    <row r="295" spans="5:5" x14ac:dyDescent="0.2">
      <c r="E295" s="74"/>
    </row>
    <row r="296" spans="5:5" x14ac:dyDescent="0.2">
      <c r="E296" s="74"/>
    </row>
    <row r="297" spans="5:5" x14ac:dyDescent="0.2">
      <c r="E297" s="74"/>
    </row>
    <row r="298" spans="5:5" x14ac:dyDescent="0.2">
      <c r="E298" s="74"/>
    </row>
    <row r="299" spans="5:5" x14ac:dyDescent="0.2">
      <c r="E299" s="74"/>
    </row>
    <row r="300" spans="5:5" x14ac:dyDescent="0.2">
      <c r="E300" s="74"/>
    </row>
    <row r="301" spans="5:5" x14ac:dyDescent="0.2">
      <c r="E301" s="74"/>
    </row>
    <row r="302" spans="5:5" x14ac:dyDescent="0.2">
      <c r="E302" s="74"/>
    </row>
    <row r="303" spans="5:5" x14ac:dyDescent="0.2">
      <c r="E303" s="74"/>
    </row>
    <row r="304" spans="5:5" x14ac:dyDescent="0.2">
      <c r="E304" s="74"/>
    </row>
    <row r="305" spans="1:7" x14ac:dyDescent="0.2">
      <c r="E305" s="74"/>
    </row>
    <row r="306" spans="1:7" x14ac:dyDescent="0.2">
      <c r="E306" s="74"/>
    </row>
    <row r="307" spans="1:7" x14ac:dyDescent="0.2">
      <c r="E307" s="74"/>
    </row>
    <row r="308" spans="1:7" x14ac:dyDescent="0.2">
      <c r="A308" s="85"/>
      <c r="B308" s="85"/>
    </row>
    <row r="309" spans="1:7" x14ac:dyDescent="0.2">
      <c r="C309" s="86"/>
      <c r="D309" s="86"/>
      <c r="E309" s="87"/>
      <c r="F309" s="86"/>
      <c r="G309" s="88"/>
    </row>
    <row r="310" spans="1:7" x14ac:dyDescent="0.2">
      <c r="A310" s="85"/>
      <c r="B310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4" manualBreakCount="4">
    <brk id="49" max="6" man="1"/>
    <brk id="90" max="6" man="1"/>
    <brk id="145" max="6" man="1"/>
    <brk id="220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E462-7046-4864-B997-D47201FA7022}">
  <sheetPr>
    <pageSetUpPr fitToPage="1"/>
  </sheetPr>
  <dimension ref="A1:P79"/>
  <sheetViews>
    <sheetView topLeftCell="A58" workbookViewId="0">
      <selection activeCell="P101" sqref="P101"/>
    </sheetView>
  </sheetViews>
  <sheetFormatPr defaultColWidth="8.85546875"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6" style="197" customWidth="1"/>
    <col min="9" max="9" width="8.85546875" style="196" customWidth="1"/>
    <col min="10" max="10" width="10" style="196" customWidth="1"/>
    <col min="11" max="11" width="8.85546875" style="196"/>
    <col min="12" max="12" width="12.7109375" style="196" customWidth="1"/>
    <col min="13" max="16384" width="8.85546875" style="196"/>
  </cols>
  <sheetData>
    <row r="1" spans="1:13" ht="15.75" x14ac:dyDescent="0.25">
      <c r="A1" s="380" t="s">
        <v>680</v>
      </c>
      <c r="B1" s="380"/>
      <c r="C1" s="380"/>
      <c r="D1" s="380"/>
      <c r="E1" s="380"/>
      <c r="F1" s="380"/>
      <c r="G1" s="380"/>
    </row>
    <row r="2" spans="1:13" ht="16.5" thickBot="1" x14ac:dyDescent="0.3">
      <c r="A2" s="380"/>
      <c r="B2" s="380"/>
      <c r="C2" s="380"/>
      <c r="D2" s="380"/>
      <c r="E2" s="380"/>
      <c r="F2" s="380"/>
      <c r="G2" s="380"/>
    </row>
    <row r="3" spans="1:13" ht="15.75" thickTop="1" x14ac:dyDescent="0.25">
      <c r="A3" s="381" t="s">
        <v>4</v>
      </c>
      <c r="B3" s="382"/>
      <c r="C3" s="275" t="str">
        <f>CONCATENATE(cislostavby," ",nazevstavby)</f>
        <v xml:space="preserve"> REKONSTRUKCE PROSTOR PRO DOKTORANDSKÁ STUDIA</v>
      </c>
      <c r="D3" s="274"/>
      <c r="E3" s="273"/>
      <c r="F3" s="272"/>
      <c r="G3" s="271" t="s">
        <v>22</v>
      </c>
    </row>
    <row r="4" spans="1:13" ht="15.75" thickBot="1" x14ac:dyDescent="0.3">
      <c r="A4" s="383" t="s">
        <v>1</v>
      </c>
      <c r="B4" s="384"/>
      <c r="C4" s="270" t="str">
        <f>CONCATENATE(cisloobjektu," ",nazevobjektu)</f>
        <v xml:space="preserve"> FF UK OSIP PRAHA 1, NÁM. JANA PALACHA 2</v>
      </c>
      <c r="D4" s="269"/>
      <c r="E4" s="385"/>
      <c r="F4" s="385"/>
      <c r="G4" s="386"/>
    </row>
    <row r="5" spans="1:13" ht="15.75" thickTop="1" x14ac:dyDescent="0.25">
      <c r="A5" s="268"/>
      <c r="B5" s="267"/>
      <c r="C5" s="205"/>
      <c r="D5" s="205"/>
      <c r="E5" s="266"/>
      <c r="F5" s="205"/>
      <c r="G5" s="205"/>
    </row>
    <row r="6" spans="1:13" ht="54" customHeight="1" x14ac:dyDescent="0.25">
      <c r="A6" s="265" t="s">
        <v>51</v>
      </c>
      <c r="B6" s="264" t="s">
        <v>52</v>
      </c>
      <c r="C6" s="264" t="s">
        <v>53</v>
      </c>
      <c r="D6" s="264" t="s">
        <v>54</v>
      </c>
      <c r="E6" s="264" t="s">
        <v>55</v>
      </c>
      <c r="F6" s="264" t="s">
        <v>56</v>
      </c>
      <c r="G6" s="263" t="s">
        <v>57</v>
      </c>
      <c r="H6" s="262" t="s">
        <v>679</v>
      </c>
      <c r="J6" s="261" t="s">
        <v>678</v>
      </c>
      <c r="K6" s="261" t="s">
        <v>677</v>
      </c>
      <c r="L6" s="261" t="s">
        <v>676</v>
      </c>
      <c r="M6" s="261" t="s">
        <v>675</v>
      </c>
    </row>
    <row r="7" spans="1:13" s="205" customFormat="1" ht="12.75" x14ac:dyDescent="0.2">
      <c r="A7" s="226" t="s">
        <v>58</v>
      </c>
      <c r="B7" s="225" t="s">
        <v>59</v>
      </c>
      <c r="C7" s="224" t="s">
        <v>60</v>
      </c>
      <c r="D7" s="219"/>
      <c r="E7" s="223"/>
      <c r="F7" s="222"/>
      <c r="G7" s="221"/>
      <c r="H7" s="257"/>
    </row>
    <row r="8" spans="1:13" s="205" customFormat="1" ht="33.75" x14ac:dyDescent="0.25">
      <c r="A8" s="219">
        <v>1</v>
      </c>
      <c r="B8" s="239" t="s">
        <v>61</v>
      </c>
      <c r="C8" s="217" t="s">
        <v>316</v>
      </c>
      <c r="D8" s="216" t="s">
        <v>63</v>
      </c>
      <c r="E8" s="215">
        <f>6.9</f>
        <v>6.9</v>
      </c>
      <c r="F8" s="229">
        <v>1150</v>
      </c>
      <c r="G8" s="235">
        <f>E8*F8</f>
        <v>7935</v>
      </c>
      <c r="H8" s="213" t="s">
        <v>645</v>
      </c>
      <c r="I8" s="196"/>
      <c r="J8" s="196">
        <v>0</v>
      </c>
      <c r="K8" s="196">
        <f>E8*J8</f>
        <v>0</v>
      </c>
      <c r="L8" s="196"/>
    </row>
    <row r="9" spans="1:13" x14ac:dyDescent="0.25">
      <c r="A9" s="219"/>
      <c r="B9" s="239"/>
      <c r="C9" s="238" t="s">
        <v>674</v>
      </c>
      <c r="D9" s="237"/>
      <c r="E9" s="236"/>
      <c r="F9" s="229"/>
      <c r="G9" s="235"/>
      <c r="H9" s="213"/>
    </row>
    <row r="10" spans="1:13" x14ac:dyDescent="0.25">
      <c r="A10" s="219"/>
      <c r="B10" s="239"/>
      <c r="C10" s="238" t="s">
        <v>673</v>
      </c>
      <c r="D10" s="237"/>
      <c r="E10" s="236"/>
      <c r="F10" s="229"/>
      <c r="G10" s="235"/>
      <c r="H10" s="213"/>
    </row>
    <row r="11" spans="1:13" x14ac:dyDescent="0.25">
      <c r="A11" s="259"/>
      <c r="B11" s="228" t="s">
        <v>81</v>
      </c>
      <c r="C11" s="260" t="str">
        <f>CONCATENATE(B1," ",C1)</f>
        <v xml:space="preserve"> </v>
      </c>
      <c r="D11" s="259"/>
      <c r="E11" s="209"/>
      <c r="F11" s="209"/>
      <c r="G11" s="258">
        <f>SUM(G7:G10)</f>
        <v>7935</v>
      </c>
      <c r="H11" s="213"/>
    </row>
    <row r="12" spans="1:13" s="205" customFormat="1" ht="12.75" x14ac:dyDescent="0.2">
      <c r="A12" s="226" t="s">
        <v>58</v>
      </c>
      <c r="B12" s="243" t="s">
        <v>82</v>
      </c>
      <c r="C12" s="224" t="s">
        <v>83</v>
      </c>
      <c r="D12" s="219"/>
      <c r="E12" s="223"/>
      <c r="F12" s="222"/>
      <c r="G12" s="242"/>
      <c r="H12" s="257"/>
    </row>
    <row r="13" spans="1:13" ht="25.15" customHeight="1" x14ac:dyDescent="0.25">
      <c r="A13" s="219">
        <v>3</v>
      </c>
      <c r="B13" s="218" t="s">
        <v>91</v>
      </c>
      <c r="C13" s="217" t="s">
        <v>92</v>
      </c>
      <c r="D13" s="216" t="s">
        <v>63</v>
      </c>
      <c r="E13" s="215">
        <v>3.48</v>
      </c>
      <c r="F13" s="229">
        <v>260</v>
      </c>
      <c r="G13" s="235">
        <f>E13*F13</f>
        <v>904.8</v>
      </c>
      <c r="H13" s="213" t="s">
        <v>645</v>
      </c>
      <c r="J13" s="256">
        <v>6.1150000000000003E-2</v>
      </c>
      <c r="K13" s="196">
        <f>E13*J13</f>
        <v>0.21280200000000002</v>
      </c>
    </row>
    <row r="14" spans="1:13" x14ac:dyDescent="0.25">
      <c r="A14" s="219"/>
      <c r="B14" s="218"/>
      <c r="C14" s="238" t="s">
        <v>651</v>
      </c>
      <c r="D14" s="216"/>
      <c r="E14" s="215"/>
      <c r="F14" s="229"/>
      <c r="G14" s="235"/>
      <c r="H14" s="213"/>
      <c r="J14" s="256"/>
    </row>
    <row r="15" spans="1:13" s="205" customFormat="1" ht="22.5" x14ac:dyDescent="0.25">
      <c r="A15" s="219">
        <v>6</v>
      </c>
      <c r="B15" s="239" t="s">
        <v>105</v>
      </c>
      <c r="C15" s="217" t="s">
        <v>551</v>
      </c>
      <c r="D15" s="216" t="s">
        <v>63</v>
      </c>
      <c r="E15" s="215">
        <f>6.9*3.5-0.9*1.97</f>
        <v>22.377000000000002</v>
      </c>
      <c r="F15" s="229">
        <v>1758</v>
      </c>
      <c r="G15" s="235">
        <f>E15*F15</f>
        <v>39338.766000000003</v>
      </c>
      <c r="H15" s="213" t="s">
        <v>645</v>
      </c>
      <c r="I15" s="196"/>
      <c r="J15" s="256">
        <v>5.6890000000000003E-2</v>
      </c>
      <c r="K15" s="196">
        <f>E15*J15</f>
        <v>1.2730275300000002</v>
      </c>
      <c r="L15" s="196"/>
    </row>
    <row r="16" spans="1:13" x14ac:dyDescent="0.25">
      <c r="A16" s="219"/>
      <c r="B16" s="239"/>
      <c r="C16" s="238" t="s">
        <v>672</v>
      </c>
      <c r="D16" s="237"/>
      <c r="E16" s="236"/>
      <c r="F16" s="229"/>
      <c r="G16" s="235"/>
      <c r="H16" s="213"/>
    </row>
    <row r="17" spans="1:12" s="205" customFormat="1" ht="33.75" x14ac:dyDescent="0.25">
      <c r="A17" s="219" t="s">
        <v>637</v>
      </c>
      <c r="B17" s="239" t="s">
        <v>671</v>
      </c>
      <c r="C17" s="217" t="s">
        <v>670</v>
      </c>
      <c r="D17" s="216" t="s">
        <v>669</v>
      </c>
      <c r="E17" s="215">
        <f>SUM(E18:E24)</f>
        <v>132.04599999999999</v>
      </c>
      <c r="F17" s="229">
        <v>132</v>
      </c>
      <c r="G17" s="235">
        <f>E17*F17</f>
        <v>17430.072</v>
      </c>
      <c r="H17" s="213" t="s">
        <v>652</v>
      </c>
      <c r="I17" s="196"/>
      <c r="J17" s="196">
        <v>1.0000000000000001E-5</v>
      </c>
      <c r="K17" s="196">
        <f>E17*J17</f>
        <v>1.3204600000000001E-3</v>
      </c>
      <c r="L17" s="196"/>
    </row>
    <row r="18" spans="1:12" s="205" customFormat="1" x14ac:dyDescent="0.25">
      <c r="A18" s="219"/>
      <c r="B18" s="239"/>
      <c r="C18" s="238" t="s">
        <v>668</v>
      </c>
      <c r="D18" s="216"/>
      <c r="E18" s="238">
        <f>3.2*2+6.93*2</f>
        <v>20.259999999999998</v>
      </c>
      <c r="F18" s="229"/>
      <c r="G18" s="235"/>
      <c r="H18" s="213"/>
      <c r="I18" s="196"/>
      <c r="J18" s="196"/>
      <c r="K18" s="196"/>
      <c r="L18" s="196"/>
    </row>
    <row r="19" spans="1:12" s="205" customFormat="1" x14ac:dyDescent="0.25">
      <c r="A19" s="219"/>
      <c r="B19" s="239"/>
      <c r="C19" s="238" t="s">
        <v>667</v>
      </c>
      <c r="D19" s="216"/>
      <c r="E19" s="238">
        <f>3.2*2+6.93</f>
        <v>13.33</v>
      </c>
      <c r="F19" s="229"/>
      <c r="G19" s="235"/>
      <c r="H19" s="213"/>
      <c r="I19" s="196"/>
      <c r="J19" s="196"/>
      <c r="K19" s="196"/>
      <c r="L19" s="196"/>
    </row>
    <row r="20" spans="1:12" s="205" customFormat="1" x14ac:dyDescent="0.25">
      <c r="A20" s="219"/>
      <c r="B20" s="239"/>
      <c r="C20" s="238" t="s">
        <v>666</v>
      </c>
      <c r="D20" s="216"/>
      <c r="E20" s="238">
        <f>2.81*2+6.93</f>
        <v>12.55</v>
      </c>
      <c r="F20" s="229"/>
      <c r="G20" s="235"/>
      <c r="H20" s="213"/>
      <c r="I20" s="196"/>
      <c r="J20" s="196"/>
      <c r="K20" s="196"/>
      <c r="L20" s="196"/>
    </row>
    <row r="21" spans="1:12" s="205" customFormat="1" x14ac:dyDescent="0.25">
      <c r="A21" s="219"/>
      <c r="B21" s="239"/>
      <c r="C21" s="238" t="s">
        <v>665</v>
      </c>
      <c r="D21" s="216"/>
      <c r="E21" s="238">
        <f>2.68*2+6.93*2</f>
        <v>19.22</v>
      </c>
      <c r="F21" s="229"/>
      <c r="G21" s="235"/>
      <c r="H21" s="213"/>
      <c r="I21" s="196"/>
      <c r="J21" s="196"/>
      <c r="K21" s="196"/>
      <c r="L21" s="196"/>
    </row>
    <row r="22" spans="1:12" s="205" customFormat="1" x14ac:dyDescent="0.25">
      <c r="A22" s="219"/>
      <c r="B22" s="239"/>
      <c r="C22" s="238" t="s">
        <v>664</v>
      </c>
      <c r="D22" s="216"/>
      <c r="E22" s="238">
        <f>8.458*2+6.93</f>
        <v>23.846</v>
      </c>
      <c r="F22" s="229"/>
      <c r="G22" s="235"/>
      <c r="H22" s="213"/>
      <c r="I22" s="196"/>
      <c r="J22" s="196"/>
      <c r="K22" s="196"/>
      <c r="L22" s="196"/>
    </row>
    <row r="23" spans="1:12" s="205" customFormat="1" x14ac:dyDescent="0.25">
      <c r="A23" s="219"/>
      <c r="B23" s="239"/>
      <c r="C23" s="238" t="s">
        <v>663</v>
      </c>
      <c r="D23" s="216"/>
      <c r="E23" s="238">
        <f>3.68*2+6.93*2</f>
        <v>21.22</v>
      </c>
      <c r="F23" s="229"/>
      <c r="G23" s="235"/>
      <c r="H23" s="213"/>
      <c r="I23" s="196"/>
      <c r="J23" s="196"/>
      <c r="K23" s="196"/>
      <c r="L23" s="196"/>
    </row>
    <row r="24" spans="1:12" s="205" customFormat="1" x14ac:dyDescent="0.25">
      <c r="A24" s="219"/>
      <c r="B24" s="239"/>
      <c r="C24" s="238" t="s">
        <v>662</v>
      </c>
      <c r="D24" s="216"/>
      <c r="E24" s="238">
        <f>3.88*2+6.93*2</f>
        <v>21.619999999999997</v>
      </c>
      <c r="F24" s="229"/>
      <c r="G24" s="235"/>
      <c r="H24" s="213"/>
      <c r="I24" s="196"/>
      <c r="J24" s="196"/>
      <c r="K24" s="196"/>
      <c r="L24" s="196"/>
    </row>
    <row r="25" spans="1:12" s="205" customFormat="1" ht="33.75" x14ac:dyDescent="0.25">
      <c r="A25" s="219" t="s">
        <v>637</v>
      </c>
      <c r="B25" s="239" t="s">
        <v>661</v>
      </c>
      <c r="C25" s="217" t="s">
        <v>660</v>
      </c>
      <c r="D25" s="216" t="s">
        <v>76</v>
      </c>
      <c r="E25" s="215">
        <v>1</v>
      </c>
      <c r="F25" s="229">
        <v>2120</v>
      </c>
      <c r="G25" s="235">
        <f>E25*F25</f>
        <v>2120</v>
      </c>
      <c r="H25" s="213" t="s">
        <v>652</v>
      </c>
      <c r="I25" s="196"/>
      <c r="J25" s="196">
        <v>1.805E-2</v>
      </c>
      <c r="K25" s="196">
        <f>E25*J25</f>
        <v>1.805E-2</v>
      </c>
      <c r="L25" s="196"/>
    </row>
    <row r="26" spans="1:12" x14ac:dyDescent="0.25">
      <c r="A26" s="219"/>
      <c r="B26" s="239"/>
      <c r="C26" s="238" t="s">
        <v>565</v>
      </c>
      <c r="D26" s="237"/>
      <c r="E26" s="236"/>
      <c r="F26" s="229"/>
      <c r="G26" s="235"/>
      <c r="H26" s="213"/>
    </row>
    <row r="27" spans="1:12" ht="33.75" x14ac:dyDescent="0.25">
      <c r="A27" s="219" t="s">
        <v>637</v>
      </c>
      <c r="B27" s="239" t="s">
        <v>659</v>
      </c>
      <c r="C27" s="240" t="s">
        <v>658</v>
      </c>
      <c r="D27" s="216" t="s">
        <v>63</v>
      </c>
      <c r="E27" s="215">
        <v>3.48</v>
      </c>
      <c r="F27" s="215">
        <v>1140</v>
      </c>
      <c r="G27" s="235">
        <f>E27*F27</f>
        <v>3967.2</v>
      </c>
      <c r="H27" s="213" t="s">
        <v>652</v>
      </c>
      <c r="J27" s="196">
        <v>1.268E-2</v>
      </c>
      <c r="K27" s="196">
        <f>E27*J27</f>
        <v>4.4126400000000003E-2</v>
      </c>
    </row>
    <row r="28" spans="1:12" x14ac:dyDescent="0.25">
      <c r="A28" s="219"/>
      <c r="B28" s="239"/>
      <c r="C28" s="238" t="s">
        <v>651</v>
      </c>
      <c r="D28" s="237"/>
      <c r="E28" s="236"/>
      <c r="F28" s="215"/>
      <c r="G28" s="235"/>
      <c r="H28" s="220"/>
    </row>
    <row r="29" spans="1:12" ht="22.5" x14ac:dyDescent="0.25">
      <c r="A29" s="219" t="s">
        <v>637</v>
      </c>
      <c r="B29" s="239" t="s">
        <v>657</v>
      </c>
      <c r="C29" s="240" t="s">
        <v>656</v>
      </c>
      <c r="D29" s="216" t="s">
        <v>63</v>
      </c>
      <c r="E29" s="215">
        <v>3.6539999999999999</v>
      </c>
      <c r="F29" s="215">
        <v>682</v>
      </c>
      <c r="G29" s="235">
        <f>E29*F29</f>
        <v>2492.0279999999998</v>
      </c>
      <c r="H29" s="213" t="s">
        <v>652</v>
      </c>
      <c r="J29" s="196">
        <v>1.4E-2</v>
      </c>
      <c r="K29" s="196">
        <f>E29*J29</f>
        <v>5.1156E-2</v>
      </c>
    </row>
    <row r="30" spans="1:12" x14ac:dyDescent="0.25">
      <c r="A30" s="219"/>
      <c r="B30" s="239"/>
      <c r="C30" s="238" t="s">
        <v>655</v>
      </c>
      <c r="D30" s="216"/>
      <c r="E30" s="215"/>
      <c r="F30" s="215"/>
      <c r="G30" s="235"/>
      <c r="H30" s="213"/>
    </row>
    <row r="31" spans="1:12" ht="22.5" x14ac:dyDescent="0.25">
      <c r="A31" s="219" t="s">
        <v>637</v>
      </c>
      <c r="B31" s="239" t="s">
        <v>654</v>
      </c>
      <c r="C31" s="240" t="s">
        <v>653</v>
      </c>
      <c r="D31" s="216" t="s">
        <v>63</v>
      </c>
      <c r="E31" s="215">
        <v>3.48</v>
      </c>
      <c r="F31" s="215">
        <v>277</v>
      </c>
      <c r="G31" s="235">
        <f>E31*F31</f>
        <v>963.96</v>
      </c>
      <c r="H31" s="213" t="s">
        <v>652</v>
      </c>
      <c r="J31" s="196">
        <v>3.2599999999999999E-3</v>
      </c>
      <c r="K31" s="196">
        <f>E27*J31</f>
        <v>1.13448E-2</v>
      </c>
    </row>
    <row r="32" spans="1:12" x14ac:dyDescent="0.25">
      <c r="A32" s="219"/>
      <c r="B32" s="239"/>
      <c r="C32" s="238" t="s">
        <v>651</v>
      </c>
      <c r="D32" s="237"/>
      <c r="E32" s="236"/>
      <c r="F32" s="215"/>
      <c r="G32" s="235"/>
      <c r="H32" s="220"/>
    </row>
    <row r="33" spans="1:16" s="205" customFormat="1" x14ac:dyDescent="0.25">
      <c r="A33" s="210"/>
      <c r="B33" s="234" t="s">
        <v>81</v>
      </c>
      <c r="C33" s="211" t="str">
        <f>C12</f>
        <v>Upravy povrchů vnitřní</v>
      </c>
      <c r="D33" s="210"/>
      <c r="E33" s="209"/>
      <c r="F33" s="208"/>
      <c r="G33" s="233">
        <f>SUM(G12:G32)</f>
        <v>67216.826000000015</v>
      </c>
      <c r="H33" s="206"/>
      <c r="I33" s="196"/>
      <c r="J33" s="196"/>
      <c r="K33" s="196"/>
      <c r="L33" s="196"/>
      <c r="M33" s="196"/>
      <c r="N33" s="196"/>
      <c r="O33" s="196"/>
      <c r="P33" s="196"/>
    </row>
    <row r="34" spans="1:16" s="205" customFormat="1" x14ac:dyDescent="0.25">
      <c r="A34" s="226" t="s">
        <v>58</v>
      </c>
      <c r="B34" s="232" t="s">
        <v>223</v>
      </c>
      <c r="C34" s="224" t="s">
        <v>224</v>
      </c>
      <c r="D34" s="219"/>
      <c r="E34" s="223"/>
      <c r="F34" s="222"/>
      <c r="G34" s="221"/>
      <c r="H34" s="231"/>
      <c r="K34" s="196"/>
      <c r="L34" s="196"/>
      <c r="M34" s="196"/>
      <c r="N34" s="196"/>
      <c r="O34" s="196"/>
      <c r="P34" s="196"/>
    </row>
    <row r="35" spans="1:16" s="205" customFormat="1" x14ac:dyDescent="0.25">
      <c r="A35" s="219">
        <v>54</v>
      </c>
      <c r="B35" s="230" t="s">
        <v>299</v>
      </c>
      <c r="C35" s="217" t="s">
        <v>300</v>
      </c>
      <c r="D35" s="216" t="s">
        <v>229</v>
      </c>
      <c r="E35" s="215">
        <v>3</v>
      </c>
      <c r="F35" s="229">
        <v>1000</v>
      </c>
      <c r="G35" s="214">
        <f>E35*F35</f>
        <v>3000</v>
      </c>
      <c r="H35" s="213" t="s">
        <v>645</v>
      </c>
      <c r="K35" s="196"/>
      <c r="L35" s="196"/>
      <c r="M35" s="196"/>
      <c r="N35" s="196"/>
      <c r="O35" s="196"/>
      <c r="P35" s="196"/>
    </row>
    <row r="36" spans="1:16" s="205" customFormat="1" x14ac:dyDescent="0.25">
      <c r="A36" s="219"/>
      <c r="B36" s="230"/>
      <c r="C36" s="238" t="s">
        <v>557</v>
      </c>
      <c r="D36" s="216"/>
      <c r="E36" s="215"/>
      <c r="F36" s="229"/>
      <c r="G36" s="214"/>
      <c r="H36" s="213"/>
      <c r="K36" s="196"/>
      <c r="L36" s="196"/>
      <c r="M36" s="196"/>
      <c r="N36" s="196"/>
      <c r="O36" s="196"/>
      <c r="P36" s="196"/>
    </row>
    <row r="37" spans="1:16" s="205" customFormat="1" x14ac:dyDescent="0.25">
      <c r="A37" s="219"/>
      <c r="B37" s="230"/>
      <c r="C37" s="238" t="s">
        <v>565</v>
      </c>
      <c r="D37" s="216"/>
      <c r="E37" s="215"/>
      <c r="F37" s="229"/>
      <c r="G37" s="214"/>
      <c r="H37" s="213"/>
      <c r="K37" s="196"/>
      <c r="L37" s="196"/>
      <c r="M37" s="196"/>
      <c r="N37" s="196"/>
      <c r="O37" s="196"/>
      <c r="P37" s="196"/>
    </row>
    <row r="38" spans="1:16" s="205" customFormat="1" x14ac:dyDescent="0.25">
      <c r="A38" s="219"/>
      <c r="B38" s="230"/>
      <c r="C38" s="238" t="s">
        <v>564</v>
      </c>
      <c r="D38" s="216"/>
      <c r="E38" s="215"/>
      <c r="F38" s="229"/>
      <c r="G38" s="214"/>
      <c r="H38" s="213"/>
      <c r="K38" s="196"/>
      <c r="L38" s="196"/>
      <c r="M38" s="196"/>
      <c r="N38" s="196"/>
      <c r="O38" s="196"/>
      <c r="P38" s="196"/>
    </row>
    <row r="39" spans="1:16" s="205" customFormat="1" x14ac:dyDescent="0.25">
      <c r="A39" s="210"/>
      <c r="B39" s="228" t="s">
        <v>81</v>
      </c>
      <c r="C39" s="211" t="str">
        <f>CONCATENATE(B34," ",C34)</f>
        <v>783 Nátěry</v>
      </c>
      <c r="D39" s="210"/>
      <c r="E39" s="209"/>
      <c r="F39" s="208"/>
      <c r="G39" s="207">
        <f>SUM(G34:G35)</f>
        <v>3000</v>
      </c>
      <c r="H39" s="227"/>
      <c r="K39" s="196"/>
      <c r="L39" s="196"/>
      <c r="M39" s="196"/>
      <c r="N39" s="196"/>
      <c r="O39" s="196"/>
      <c r="P39" s="196"/>
    </row>
    <row r="40" spans="1:16" s="205" customFormat="1" x14ac:dyDescent="0.25">
      <c r="A40" s="226" t="s">
        <v>58</v>
      </c>
      <c r="B40" s="232" t="s">
        <v>144</v>
      </c>
      <c r="C40" s="224" t="s">
        <v>145</v>
      </c>
      <c r="D40" s="219"/>
      <c r="E40" s="223"/>
      <c r="F40" s="222"/>
      <c r="G40" s="221"/>
      <c r="H40" s="255"/>
      <c r="J40" s="254"/>
      <c r="K40" s="196"/>
      <c r="L40" s="196"/>
      <c r="M40" s="196"/>
      <c r="N40" s="196"/>
      <c r="O40" s="196"/>
      <c r="P40" s="196"/>
    </row>
    <row r="41" spans="1:16" x14ac:dyDescent="0.25">
      <c r="A41" s="253">
        <v>21</v>
      </c>
      <c r="B41" s="239" t="s">
        <v>61</v>
      </c>
      <c r="C41" s="240" t="s">
        <v>594</v>
      </c>
      <c r="D41" s="252" t="s">
        <v>63</v>
      </c>
      <c r="E41" s="215">
        <f>E42</f>
        <v>24.150000000000002</v>
      </c>
      <c r="F41" s="251">
        <v>150</v>
      </c>
      <c r="G41" s="250">
        <f>E41*F41</f>
        <v>3622.5000000000005</v>
      </c>
      <c r="H41" s="249" t="s">
        <v>645</v>
      </c>
      <c r="L41" s="196">
        <v>5.638E-2</v>
      </c>
      <c r="M41" s="196">
        <f>E41*L41</f>
        <v>1.361577</v>
      </c>
    </row>
    <row r="42" spans="1:16" x14ac:dyDescent="0.25">
      <c r="C42" s="238" t="s">
        <v>650</v>
      </c>
      <c r="E42" s="236">
        <f>6.9*3.5</f>
        <v>24.150000000000002</v>
      </c>
      <c r="G42" s="248"/>
      <c r="H42" s="220"/>
    </row>
    <row r="43" spans="1:16" x14ac:dyDescent="0.25">
      <c r="A43" s="219">
        <v>22</v>
      </c>
      <c r="B43" s="239" t="s">
        <v>150</v>
      </c>
      <c r="C43" s="240" t="s">
        <v>151</v>
      </c>
      <c r="D43" s="216" t="s">
        <v>152</v>
      </c>
      <c r="E43" s="247">
        <f>M41</f>
        <v>1.361577</v>
      </c>
      <c r="F43" s="246">
        <v>383</v>
      </c>
      <c r="G43" s="235">
        <f>E43*F43</f>
        <v>521.48399100000006</v>
      </c>
      <c r="H43" s="213" t="s">
        <v>645</v>
      </c>
    </row>
    <row r="44" spans="1:16" x14ac:dyDescent="0.25">
      <c r="A44" s="219">
        <v>23</v>
      </c>
      <c r="B44" s="239" t="s">
        <v>153</v>
      </c>
      <c r="C44" s="240" t="s">
        <v>154</v>
      </c>
      <c r="D44" s="216" t="s">
        <v>152</v>
      </c>
      <c r="E44" s="247">
        <f>M41</f>
        <v>1.361577</v>
      </c>
      <c r="F44" s="246">
        <v>42</v>
      </c>
      <c r="G44" s="235">
        <f>E44*F44</f>
        <v>57.186233999999999</v>
      </c>
      <c r="H44" s="213" t="s">
        <v>645</v>
      </c>
    </row>
    <row r="45" spans="1:16" x14ac:dyDescent="0.25">
      <c r="A45" s="219">
        <v>24</v>
      </c>
      <c r="B45" s="239" t="s">
        <v>155</v>
      </c>
      <c r="C45" s="240" t="s">
        <v>156</v>
      </c>
      <c r="D45" s="216" t="s">
        <v>152</v>
      </c>
      <c r="E45" s="247">
        <f>M41</f>
        <v>1.361577</v>
      </c>
      <c r="F45" s="246">
        <v>365</v>
      </c>
      <c r="G45" s="235">
        <f>E45*F45</f>
        <v>496.97560500000003</v>
      </c>
      <c r="H45" s="213" t="s">
        <v>645</v>
      </c>
    </row>
    <row r="46" spans="1:16" x14ac:dyDescent="0.25">
      <c r="A46" s="219">
        <v>25</v>
      </c>
      <c r="B46" s="239" t="s">
        <v>157</v>
      </c>
      <c r="C46" s="240" t="s">
        <v>158</v>
      </c>
      <c r="D46" s="216" t="s">
        <v>152</v>
      </c>
      <c r="E46" s="247">
        <f>M41</f>
        <v>1.361577</v>
      </c>
      <c r="F46" s="246">
        <v>14</v>
      </c>
      <c r="G46" s="235">
        <f>E46*F46</f>
        <v>19.062078</v>
      </c>
      <c r="H46" s="213" t="s">
        <v>645</v>
      </c>
    </row>
    <row r="47" spans="1:16" s="205" customFormat="1" x14ac:dyDescent="0.25">
      <c r="A47" s="210"/>
      <c r="B47" s="234" t="s">
        <v>81</v>
      </c>
      <c r="C47" s="211" t="s">
        <v>649</v>
      </c>
      <c r="D47" s="210"/>
      <c r="E47" s="209"/>
      <c r="F47" s="245"/>
      <c r="G47" s="233">
        <f>SUM(G41:G46)</f>
        <v>4717.2079080000003</v>
      </c>
      <c r="H47" s="227"/>
      <c r="K47" s="196"/>
      <c r="L47" s="196"/>
      <c r="M47" s="196"/>
      <c r="N47" s="196"/>
      <c r="O47" s="196"/>
      <c r="P47" s="196"/>
    </row>
    <row r="48" spans="1:16" s="205" customFormat="1" x14ac:dyDescent="0.25">
      <c r="A48" s="226" t="s">
        <v>58</v>
      </c>
      <c r="B48" s="232" t="s">
        <v>161</v>
      </c>
      <c r="C48" s="224" t="s">
        <v>162</v>
      </c>
      <c r="D48" s="219"/>
      <c r="E48" s="223"/>
      <c r="F48" s="222"/>
      <c r="G48" s="221"/>
      <c r="H48" s="231"/>
      <c r="K48" s="196"/>
      <c r="L48" s="196"/>
      <c r="M48" s="196"/>
      <c r="N48" s="196"/>
      <c r="O48" s="196"/>
      <c r="P48" s="196"/>
    </row>
    <row r="49" spans="1:16" s="205" customFormat="1" x14ac:dyDescent="0.25">
      <c r="A49" s="219">
        <v>27</v>
      </c>
      <c r="B49" s="230" t="s">
        <v>163</v>
      </c>
      <c r="C49" s="240" t="s">
        <v>164</v>
      </c>
      <c r="D49" s="216" t="s">
        <v>152</v>
      </c>
      <c r="E49" s="244">
        <f>SUM(K7:K69)</f>
        <v>1.6118271900000001</v>
      </c>
      <c r="F49" s="229">
        <v>880</v>
      </c>
      <c r="G49" s="214">
        <f>E49*F49</f>
        <v>1418.4079272000001</v>
      </c>
      <c r="H49" s="213" t="s">
        <v>645</v>
      </c>
      <c r="K49" s="196"/>
      <c r="L49" s="196"/>
      <c r="M49" s="196"/>
      <c r="N49" s="196"/>
      <c r="O49" s="196"/>
      <c r="P49" s="196"/>
    </row>
    <row r="50" spans="1:16" s="205" customFormat="1" x14ac:dyDescent="0.25">
      <c r="A50" s="210"/>
      <c r="B50" s="228" t="s">
        <v>81</v>
      </c>
      <c r="C50" s="211" t="str">
        <f>CONCATENATE(B48," ",C48)</f>
        <v>99 Staveništní přesun hmot</v>
      </c>
      <c r="D50" s="210"/>
      <c r="E50" s="209"/>
      <c r="F50" s="208"/>
      <c r="G50" s="207">
        <f>SUM(G48:G49)</f>
        <v>1418.4079272000001</v>
      </c>
      <c r="H50" s="231"/>
      <c r="K50" s="196"/>
      <c r="L50" s="196"/>
      <c r="M50" s="196"/>
      <c r="N50" s="196"/>
      <c r="O50" s="196"/>
      <c r="P50" s="196"/>
    </row>
    <row r="51" spans="1:16" x14ac:dyDescent="0.25">
      <c r="A51" s="226" t="s">
        <v>58</v>
      </c>
      <c r="B51" s="243" t="s">
        <v>111</v>
      </c>
      <c r="C51" s="224" t="s">
        <v>112</v>
      </c>
      <c r="D51" s="219"/>
      <c r="E51" s="223"/>
      <c r="F51" s="222"/>
      <c r="G51" s="242"/>
      <c r="H51" s="241"/>
    </row>
    <row r="52" spans="1:16" ht="44.45" customHeight="1" x14ac:dyDescent="0.25">
      <c r="A52" s="219">
        <v>10</v>
      </c>
      <c r="B52" s="230" t="s">
        <v>121</v>
      </c>
      <c r="C52" s="240" t="s">
        <v>122</v>
      </c>
      <c r="D52" s="216" t="s">
        <v>76</v>
      </c>
      <c r="E52" s="215">
        <f>SUM(E53:E54)</f>
        <v>-2</v>
      </c>
      <c r="F52" s="215">
        <v>20700</v>
      </c>
      <c r="G52" s="235">
        <f>E52*F52</f>
        <v>-41400</v>
      </c>
      <c r="H52" s="213" t="s">
        <v>645</v>
      </c>
      <c r="J52" s="196">
        <v>0</v>
      </c>
      <c r="K52" s="196">
        <f>E52*J52</f>
        <v>0</v>
      </c>
    </row>
    <row r="53" spans="1:16" ht="13.15" customHeight="1" x14ac:dyDescent="0.25">
      <c r="A53" s="219"/>
      <c r="B53" s="230"/>
      <c r="C53" s="238" t="s">
        <v>648</v>
      </c>
      <c r="D53" s="237"/>
      <c r="E53" s="236">
        <v>-1</v>
      </c>
      <c r="F53" s="215"/>
      <c r="G53" s="235"/>
      <c r="H53" s="220"/>
    </row>
    <row r="54" spans="1:16" ht="15.6" customHeight="1" x14ac:dyDescent="0.25">
      <c r="A54" s="219"/>
      <c r="B54" s="230"/>
      <c r="C54" s="238" t="s">
        <v>647</v>
      </c>
      <c r="D54" s="237"/>
      <c r="E54" s="236">
        <v>-1</v>
      </c>
      <c r="F54" s="215"/>
      <c r="G54" s="235"/>
      <c r="H54" s="220"/>
    </row>
    <row r="55" spans="1:16" ht="43.9" customHeight="1" x14ac:dyDescent="0.25">
      <c r="A55" s="219" t="s">
        <v>637</v>
      </c>
      <c r="B55" s="218"/>
      <c r="C55" s="217" t="s">
        <v>646</v>
      </c>
      <c r="D55" s="216" t="s">
        <v>76</v>
      </c>
      <c r="E55" s="229">
        <v>-1</v>
      </c>
      <c r="F55" s="229">
        <v>21279.599999999999</v>
      </c>
      <c r="G55" s="235">
        <f>E55*F55</f>
        <v>-21279.599999999999</v>
      </c>
      <c r="H55" s="213" t="s">
        <v>635</v>
      </c>
      <c r="J55" s="196">
        <v>0</v>
      </c>
      <c r="K55" s="196">
        <f>E55*J55</f>
        <v>0</v>
      </c>
    </row>
    <row r="56" spans="1:16" ht="15.6" customHeight="1" x14ac:dyDescent="0.25">
      <c r="A56" s="219"/>
      <c r="B56" s="230"/>
      <c r="C56" s="238" t="s">
        <v>639</v>
      </c>
      <c r="D56" s="237"/>
      <c r="E56" s="236">
        <v>-1</v>
      </c>
      <c r="F56" s="215"/>
      <c r="G56" s="235"/>
      <c r="H56" s="220"/>
    </row>
    <row r="57" spans="1:16" ht="45" x14ac:dyDescent="0.25">
      <c r="A57" s="219">
        <v>11</v>
      </c>
      <c r="B57" s="230" t="s">
        <v>123</v>
      </c>
      <c r="C57" s="240" t="s">
        <v>352</v>
      </c>
      <c r="D57" s="216" t="s">
        <v>76</v>
      </c>
      <c r="E57" s="215">
        <f>SUM(E58:E59)</f>
        <v>-2</v>
      </c>
      <c r="F57" s="215">
        <v>30400</v>
      </c>
      <c r="G57" s="235">
        <f>E57*F57</f>
        <v>-60800</v>
      </c>
      <c r="H57" s="213" t="s">
        <v>645</v>
      </c>
      <c r="J57" s="196">
        <v>0</v>
      </c>
      <c r="K57" s="196">
        <f>E57*J57</f>
        <v>0</v>
      </c>
    </row>
    <row r="58" spans="1:16" x14ac:dyDescent="0.25">
      <c r="A58" s="219"/>
      <c r="B58" s="239"/>
      <c r="C58" s="238" t="s">
        <v>565</v>
      </c>
      <c r="D58" s="216"/>
      <c r="E58" s="236">
        <v>-1</v>
      </c>
      <c r="F58" s="215"/>
      <c r="G58" s="235"/>
      <c r="H58" s="213"/>
    </row>
    <row r="59" spans="1:16" x14ac:dyDescent="0.25">
      <c r="A59" s="219"/>
      <c r="B59" s="239"/>
      <c r="C59" s="238" t="s">
        <v>558</v>
      </c>
      <c r="D59" s="237"/>
      <c r="E59" s="236">
        <v>-1</v>
      </c>
      <c r="F59" s="215"/>
      <c r="G59" s="235"/>
      <c r="H59" s="213"/>
    </row>
    <row r="60" spans="1:16" x14ac:dyDescent="0.25">
      <c r="A60" s="219" t="s">
        <v>637</v>
      </c>
      <c r="B60" s="239"/>
      <c r="C60" s="240" t="s">
        <v>644</v>
      </c>
      <c r="D60" s="216" t="s">
        <v>76</v>
      </c>
      <c r="E60" s="215">
        <f>SUM(E61:E65)</f>
        <v>1</v>
      </c>
      <c r="F60" s="215">
        <f>1000*1.15</f>
        <v>1150</v>
      </c>
      <c r="G60" s="235">
        <f>E60*F60</f>
        <v>1150</v>
      </c>
      <c r="H60" s="213" t="s">
        <v>635</v>
      </c>
      <c r="J60" s="196">
        <v>0</v>
      </c>
      <c r="K60" s="196">
        <f>E60*J60</f>
        <v>0</v>
      </c>
    </row>
    <row r="61" spans="1:16" x14ac:dyDescent="0.25">
      <c r="A61" s="219"/>
      <c r="B61" s="239"/>
      <c r="C61" s="238" t="s">
        <v>643</v>
      </c>
      <c r="D61" s="216"/>
      <c r="E61" s="236">
        <v>1</v>
      </c>
      <c r="F61" s="215"/>
      <c r="G61" s="235"/>
      <c r="H61" s="213"/>
    </row>
    <row r="62" spans="1:16" x14ac:dyDescent="0.25">
      <c r="A62" s="219"/>
      <c r="B62" s="239"/>
      <c r="C62" s="238" t="s">
        <v>642</v>
      </c>
      <c r="D62" s="216"/>
      <c r="E62" s="236">
        <v>1</v>
      </c>
      <c r="F62" s="215"/>
      <c r="G62" s="235"/>
      <c r="H62" s="213"/>
    </row>
    <row r="63" spans="1:16" x14ac:dyDescent="0.25">
      <c r="A63" s="219"/>
      <c r="B63" s="239"/>
      <c r="C63" s="238" t="s">
        <v>641</v>
      </c>
      <c r="D63" s="216"/>
      <c r="E63" s="236">
        <v>1</v>
      </c>
      <c r="F63" s="215"/>
      <c r="G63" s="235"/>
      <c r="H63" s="213"/>
    </row>
    <row r="64" spans="1:16" x14ac:dyDescent="0.25">
      <c r="A64" s="219"/>
      <c r="B64" s="239"/>
      <c r="C64" s="238" t="s">
        <v>640</v>
      </c>
      <c r="D64" s="216"/>
      <c r="E64" s="236">
        <v>-1</v>
      </c>
      <c r="F64" s="215"/>
      <c r="G64" s="235"/>
      <c r="H64" s="213"/>
    </row>
    <row r="65" spans="1:16" x14ac:dyDescent="0.25">
      <c r="A65" s="219"/>
      <c r="B65" s="239"/>
      <c r="C65" s="238" t="s">
        <v>639</v>
      </c>
      <c r="D65" s="216"/>
      <c r="E65" s="236">
        <v>-1</v>
      </c>
      <c r="F65" s="215"/>
      <c r="G65" s="235"/>
      <c r="H65" s="213"/>
    </row>
    <row r="66" spans="1:16" x14ac:dyDescent="0.25">
      <c r="A66" s="219" t="s">
        <v>637</v>
      </c>
      <c r="B66" s="239"/>
      <c r="C66" s="240" t="s">
        <v>638</v>
      </c>
      <c r="D66" s="216" t="s">
        <v>76</v>
      </c>
      <c r="E66" s="215">
        <v>2</v>
      </c>
      <c r="F66" s="215">
        <f>4500*1.15</f>
        <v>5175</v>
      </c>
      <c r="G66" s="235">
        <f>E66*F66</f>
        <v>10350</v>
      </c>
      <c r="H66" s="213" t="s">
        <v>635</v>
      </c>
      <c r="J66" s="196">
        <v>0</v>
      </c>
      <c r="K66" s="196">
        <f>E66*J66</f>
        <v>0</v>
      </c>
    </row>
    <row r="67" spans="1:16" x14ac:dyDescent="0.25">
      <c r="A67" s="219"/>
      <c r="B67" s="239"/>
      <c r="C67" s="238" t="s">
        <v>559</v>
      </c>
      <c r="D67" s="216"/>
      <c r="E67" s="236">
        <v>1</v>
      </c>
      <c r="F67" s="215"/>
      <c r="G67" s="235"/>
      <c r="H67" s="213"/>
    </row>
    <row r="68" spans="1:16" x14ac:dyDescent="0.25">
      <c r="A68" s="219"/>
      <c r="B68" s="239"/>
      <c r="C68" s="238" t="s">
        <v>563</v>
      </c>
      <c r="D68" s="216"/>
      <c r="E68" s="236">
        <v>1</v>
      </c>
      <c r="F68" s="215"/>
      <c r="G68" s="235"/>
      <c r="H68" s="213"/>
    </row>
    <row r="69" spans="1:16" ht="43.9" customHeight="1" x14ac:dyDescent="0.25">
      <c r="A69" s="219" t="s">
        <v>637</v>
      </c>
      <c r="B69" s="239"/>
      <c r="C69" s="240" t="s">
        <v>636</v>
      </c>
      <c r="D69" s="216" t="s">
        <v>76</v>
      </c>
      <c r="E69" s="215">
        <v>1</v>
      </c>
      <c r="F69" s="215">
        <f>26050*1.15</f>
        <v>29957.499999999996</v>
      </c>
      <c r="G69" s="235">
        <f>E69*F69</f>
        <v>29957.499999999996</v>
      </c>
      <c r="H69" s="213" t="s">
        <v>635</v>
      </c>
      <c r="J69" s="196">
        <v>0</v>
      </c>
      <c r="K69" s="196">
        <f>E69*J69</f>
        <v>0</v>
      </c>
    </row>
    <row r="70" spans="1:16" ht="15.6" customHeight="1" x14ac:dyDescent="0.25">
      <c r="A70" s="219"/>
      <c r="B70" s="239"/>
      <c r="C70" s="238" t="s">
        <v>565</v>
      </c>
      <c r="D70" s="237"/>
      <c r="E70" s="236"/>
      <c r="F70" s="215"/>
      <c r="G70" s="235"/>
      <c r="H70" s="220"/>
    </row>
    <row r="71" spans="1:16" s="205" customFormat="1" x14ac:dyDescent="0.25">
      <c r="A71" s="210"/>
      <c r="B71" s="234" t="s">
        <v>81</v>
      </c>
      <c r="C71" s="211" t="str">
        <f>C51</f>
        <v>Výplně otvorů</v>
      </c>
      <c r="D71" s="210"/>
      <c r="E71" s="209"/>
      <c r="F71" s="208"/>
      <c r="G71" s="233">
        <f>SUM(G52:G70)</f>
        <v>-82022.100000000006</v>
      </c>
      <c r="H71" s="206"/>
      <c r="I71" s="196"/>
      <c r="J71" s="196"/>
      <c r="K71" s="196"/>
      <c r="L71" s="196"/>
    </row>
    <row r="72" spans="1:16" s="205" customFormat="1" x14ac:dyDescent="0.25">
      <c r="A72" s="226" t="s">
        <v>58</v>
      </c>
      <c r="B72" s="232" t="s">
        <v>129</v>
      </c>
      <c r="C72" s="224" t="s">
        <v>130</v>
      </c>
      <c r="D72" s="219"/>
      <c r="E72" s="223"/>
      <c r="F72" s="222"/>
      <c r="G72" s="221"/>
      <c r="H72" s="231"/>
      <c r="K72" s="196"/>
      <c r="L72" s="196"/>
      <c r="M72" s="196"/>
      <c r="N72" s="196"/>
      <c r="O72" s="196"/>
      <c r="P72" s="196"/>
    </row>
    <row r="73" spans="1:16" s="205" customFormat="1" ht="31.15" customHeight="1" x14ac:dyDescent="0.25">
      <c r="A73" s="219">
        <v>15</v>
      </c>
      <c r="B73" s="230" t="s">
        <v>136</v>
      </c>
      <c r="C73" s="217" t="s">
        <v>634</v>
      </c>
      <c r="D73" s="216" t="s">
        <v>135</v>
      </c>
      <c r="E73" s="215">
        <v>1</v>
      </c>
      <c r="F73" s="229">
        <f>'[6]5.NP - Učebny'!G17</f>
        <v>61581.35</v>
      </c>
      <c r="G73" s="214">
        <f>E73*F73</f>
        <v>61581.35</v>
      </c>
      <c r="H73" s="213" t="s">
        <v>633</v>
      </c>
      <c r="K73" s="196"/>
      <c r="L73" s="196"/>
      <c r="M73" s="196"/>
      <c r="N73" s="196"/>
      <c r="O73" s="196"/>
      <c r="P73" s="196"/>
    </row>
    <row r="74" spans="1:16" s="205" customFormat="1" x14ac:dyDescent="0.25">
      <c r="A74" s="210"/>
      <c r="B74" s="228" t="s">
        <v>81</v>
      </c>
      <c r="C74" s="211" t="s">
        <v>130</v>
      </c>
      <c r="D74" s="210"/>
      <c r="E74" s="209"/>
      <c r="F74" s="208"/>
      <c r="G74" s="207">
        <f>SUM(G72:G73)</f>
        <v>61581.35</v>
      </c>
      <c r="H74" s="227"/>
      <c r="K74" s="196"/>
      <c r="L74" s="196"/>
      <c r="M74" s="196"/>
      <c r="N74" s="196"/>
      <c r="O74" s="196"/>
      <c r="P74" s="196"/>
    </row>
    <row r="75" spans="1:16" s="205" customFormat="1" x14ac:dyDescent="0.25">
      <c r="A75" s="226" t="s">
        <v>58</v>
      </c>
      <c r="B75" s="225" t="s">
        <v>241</v>
      </c>
      <c r="C75" s="224" t="s">
        <v>242</v>
      </c>
      <c r="D75" s="219"/>
      <c r="E75" s="223"/>
      <c r="F75" s="222"/>
      <c r="G75" s="221"/>
      <c r="H75" s="220"/>
      <c r="I75" s="196"/>
      <c r="J75" s="196"/>
      <c r="K75" s="196"/>
      <c r="L75" s="196"/>
    </row>
    <row r="76" spans="1:16" s="205" customFormat="1" x14ac:dyDescent="0.25">
      <c r="A76" s="219">
        <v>56</v>
      </c>
      <c r="B76" s="218" t="s">
        <v>243</v>
      </c>
      <c r="C76" s="217" t="s">
        <v>244</v>
      </c>
      <c r="D76" s="216" t="s">
        <v>135</v>
      </c>
      <c r="E76" s="215">
        <v>1</v>
      </c>
      <c r="F76" s="215">
        <f>'[7]SIL - 5.NP'!F58</f>
        <v>9025.6200000000026</v>
      </c>
      <c r="G76" s="214">
        <f>E76*F76</f>
        <v>9025.6200000000026</v>
      </c>
      <c r="H76" s="213" t="s">
        <v>632</v>
      </c>
      <c r="I76" s="196"/>
      <c r="J76" s="196"/>
      <c r="K76" s="196"/>
      <c r="L76" s="196"/>
    </row>
    <row r="77" spans="1:16" s="205" customFormat="1" x14ac:dyDescent="0.25">
      <c r="A77" s="210"/>
      <c r="B77" s="212" t="s">
        <v>81</v>
      </c>
      <c r="C77" s="211" t="s">
        <v>242</v>
      </c>
      <c r="D77" s="210"/>
      <c r="E77" s="209"/>
      <c r="F77" s="208"/>
      <c r="G77" s="207">
        <f>SUM(G75:G76)</f>
        <v>9025.6200000000026</v>
      </c>
      <c r="H77" s="206"/>
      <c r="I77" s="196"/>
      <c r="J77" s="196"/>
      <c r="K77" s="196"/>
      <c r="L77" s="196"/>
    </row>
    <row r="79" spans="1:16" x14ac:dyDescent="0.25">
      <c r="A79" s="202"/>
      <c r="B79" s="204" t="s">
        <v>81</v>
      </c>
      <c r="C79" s="203"/>
      <c r="D79" s="202"/>
      <c r="E79" s="201"/>
      <c r="F79" s="200"/>
      <c r="G79" s="199">
        <f>G11+G33+G39+G47+G50+G71+G74+G77</f>
        <v>72872.311835200002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E6A6D-3BBD-43AA-B19D-49E50FE00126}">
  <sheetPr>
    <pageSetUpPr fitToPage="1"/>
  </sheetPr>
  <dimension ref="A1:O35"/>
  <sheetViews>
    <sheetView workbookViewId="0">
      <selection activeCell="K28" sqref="K28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3" ht="15.75" x14ac:dyDescent="0.25">
      <c r="A1" s="380" t="s">
        <v>689</v>
      </c>
      <c r="B1" s="380"/>
      <c r="C1" s="380"/>
      <c r="D1" s="380"/>
      <c r="E1" s="380"/>
      <c r="F1" s="380"/>
      <c r="G1" s="380"/>
    </row>
    <row r="2" spans="1:13" ht="16.5" thickBot="1" x14ac:dyDescent="0.3">
      <c r="A2" s="380"/>
      <c r="B2" s="380"/>
      <c r="C2" s="380"/>
      <c r="D2" s="380"/>
      <c r="E2" s="380"/>
      <c r="F2" s="380"/>
      <c r="G2" s="380"/>
    </row>
    <row r="3" spans="1:13" ht="15.75" thickTop="1" x14ac:dyDescent="0.25">
      <c r="A3" s="381" t="s">
        <v>4</v>
      </c>
      <c r="B3" s="382"/>
      <c r="C3" s="275" t="str">
        <f>CONCATENATE(cislostavby," ",nazevstavby)</f>
        <v xml:space="preserve"> REKONSTRUKCE PROSTOR PRO DOKTORANDSKÁ STUDIA</v>
      </c>
      <c r="D3" s="274"/>
      <c r="E3" s="273"/>
      <c r="F3" s="272"/>
      <c r="G3" s="271" t="s">
        <v>22</v>
      </c>
    </row>
    <row r="4" spans="1:13" ht="15.75" thickBot="1" x14ac:dyDescent="0.3">
      <c r="A4" s="383" t="s">
        <v>1</v>
      </c>
      <c r="B4" s="384"/>
      <c r="C4" s="270" t="str">
        <f>CONCATENATE(cisloobjektu," ",nazevobjektu)</f>
        <v xml:space="preserve"> FF UK OSIP PRAHA 1, NÁM. JANA PALACHA 2</v>
      </c>
      <c r="D4" s="269"/>
      <c r="E4" s="385"/>
      <c r="F4" s="385"/>
      <c r="G4" s="386"/>
    </row>
    <row r="5" spans="1:13" ht="15.75" thickTop="1" x14ac:dyDescent="0.25">
      <c r="A5" s="268"/>
      <c r="B5" s="267"/>
      <c r="C5" s="205"/>
      <c r="D5" s="205"/>
      <c r="E5" s="266"/>
      <c r="F5" s="205"/>
      <c r="G5" s="205"/>
    </row>
    <row r="6" spans="1:13" ht="54" customHeight="1" x14ac:dyDescent="0.25">
      <c r="A6" s="265" t="s">
        <v>51</v>
      </c>
      <c r="B6" s="264" t="s">
        <v>52</v>
      </c>
      <c r="C6" s="264" t="s">
        <v>53</v>
      </c>
      <c r="D6" s="264" t="s">
        <v>54</v>
      </c>
      <c r="E6" s="264" t="s">
        <v>55</v>
      </c>
      <c r="F6" s="264" t="s">
        <v>56</v>
      </c>
      <c r="G6" s="263" t="s">
        <v>57</v>
      </c>
      <c r="H6" s="262" t="s">
        <v>679</v>
      </c>
      <c r="J6" s="261" t="s">
        <v>678</v>
      </c>
      <c r="K6" s="261" t="s">
        <v>677</v>
      </c>
      <c r="L6" s="261" t="s">
        <v>676</v>
      </c>
      <c r="M6" s="261" t="s">
        <v>675</v>
      </c>
    </row>
    <row r="7" spans="1:13" s="205" customFormat="1" ht="12.75" x14ac:dyDescent="0.2">
      <c r="A7" s="226" t="s">
        <v>58</v>
      </c>
      <c r="B7" s="225" t="s">
        <v>59</v>
      </c>
      <c r="C7" s="224" t="s">
        <v>60</v>
      </c>
      <c r="D7" s="219"/>
      <c r="E7" s="223"/>
      <c r="F7" s="222"/>
      <c r="G7" s="221"/>
      <c r="H7" s="257"/>
    </row>
    <row r="8" spans="1:13" s="205" customFormat="1" ht="45" x14ac:dyDescent="0.25">
      <c r="A8" s="219" t="s">
        <v>637</v>
      </c>
      <c r="B8" s="239" t="s">
        <v>706</v>
      </c>
      <c r="C8" s="217" t="s">
        <v>705</v>
      </c>
      <c r="D8" s="216" t="s">
        <v>76</v>
      </c>
      <c r="E8" s="215">
        <v>4</v>
      </c>
      <c r="F8" s="229">
        <v>592</v>
      </c>
      <c r="G8" s="235">
        <f>E8*F8</f>
        <v>2368</v>
      </c>
      <c r="H8" s="213" t="s">
        <v>700</v>
      </c>
      <c r="I8" s="196"/>
      <c r="J8" s="196">
        <v>0</v>
      </c>
      <c r="K8" s="196">
        <f>E8*J8</f>
        <v>0</v>
      </c>
      <c r="L8" s="196"/>
    </row>
    <row r="9" spans="1:13" x14ac:dyDescent="0.25">
      <c r="A9" s="219"/>
      <c r="B9" s="239"/>
      <c r="C9" s="278" t="s">
        <v>695</v>
      </c>
      <c r="D9" s="277"/>
      <c r="E9" s="276"/>
      <c r="F9" s="229"/>
      <c r="G9" s="235"/>
      <c r="H9" s="213"/>
    </row>
    <row r="10" spans="1:13" x14ac:dyDescent="0.25">
      <c r="A10" s="219"/>
      <c r="B10" s="239"/>
      <c r="C10" s="278" t="s">
        <v>699</v>
      </c>
      <c r="D10" s="277"/>
      <c r="E10" s="276"/>
      <c r="F10" s="229"/>
      <c r="G10" s="235"/>
      <c r="H10" s="213"/>
    </row>
    <row r="11" spans="1:13" x14ac:dyDescent="0.25">
      <c r="A11" s="219"/>
      <c r="B11" s="239"/>
      <c r="C11" s="278" t="s">
        <v>698</v>
      </c>
      <c r="D11" s="277"/>
      <c r="E11" s="276"/>
      <c r="F11" s="229"/>
      <c r="G11" s="235"/>
      <c r="H11" s="213"/>
    </row>
    <row r="12" spans="1:13" s="205" customFormat="1" ht="33.75" x14ac:dyDescent="0.25">
      <c r="A12" s="219" t="s">
        <v>637</v>
      </c>
      <c r="B12" s="239" t="s">
        <v>704</v>
      </c>
      <c r="C12" s="217" t="s">
        <v>703</v>
      </c>
      <c r="D12" s="216" t="s">
        <v>76</v>
      </c>
      <c r="E12" s="215">
        <v>4</v>
      </c>
      <c r="F12" s="229">
        <v>399</v>
      </c>
      <c r="G12" s="235">
        <f>E12*F12</f>
        <v>1596</v>
      </c>
      <c r="H12" s="213" t="s">
        <v>700</v>
      </c>
      <c r="I12" s="196"/>
      <c r="J12" s="196">
        <v>0</v>
      </c>
      <c r="K12" s="196">
        <f>E12*J12</f>
        <v>0</v>
      </c>
      <c r="L12" s="196"/>
    </row>
    <row r="13" spans="1:13" x14ac:dyDescent="0.25">
      <c r="A13" s="219"/>
      <c r="B13" s="239"/>
      <c r="C13" s="278" t="s">
        <v>695</v>
      </c>
      <c r="D13" s="277"/>
      <c r="E13" s="276"/>
      <c r="F13" s="229"/>
      <c r="G13" s="235"/>
      <c r="H13" s="213"/>
    </row>
    <row r="14" spans="1:13" x14ac:dyDescent="0.25">
      <c r="A14" s="219"/>
      <c r="B14" s="239"/>
      <c r="C14" s="278" t="s">
        <v>699</v>
      </c>
      <c r="D14" s="277"/>
      <c r="E14" s="276"/>
      <c r="F14" s="229"/>
      <c r="G14" s="235"/>
      <c r="H14" s="213"/>
    </row>
    <row r="15" spans="1:13" x14ac:dyDescent="0.25">
      <c r="A15" s="219"/>
      <c r="B15" s="239"/>
      <c r="C15" s="278" t="s">
        <v>698</v>
      </c>
      <c r="D15" s="277"/>
      <c r="E15" s="276"/>
      <c r="F15" s="229"/>
      <c r="G15" s="235"/>
      <c r="H15" s="213"/>
    </row>
    <row r="16" spans="1:13" s="205" customFormat="1" ht="22.5" x14ac:dyDescent="0.25">
      <c r="A16" s="219" t="s">
        <v>637</v>
      </c>
      <c r="B16" s="239" t="s">
        <v>702</v>
      </c>
      <c r="C16" s="217" t="s">
        <v>701</v>
      </c>
      <c r="D16" s="216" t="s">
        <v>76</v>
      </c>
      <c r="E16" s="215">
        <v>4</v>
      </c>
      <c r="F16" s="229">
        <v>638</v>
      </c>
      <c r="G16" s="235">
        <f>E16*F16</f>
        <v>2552</v>
      </c>
      <c r="H16" s="213" t="s">
        <v>700</v>
      </c>
      <c r="I16" s="196"/>
      <c r="J16" s="196">
        <v>0</v>
      </c>
      <c r="K16" s="196">
        <f>E16*J16</f>
        <v>0</v>
      </c>
      <c r="L16" s="196"/>
    </row>
    <row r="17" spans="1:15" x14ac:dyDescent="0.25">
      <c r="A17" s="219"/>
      <c r="B17" s="239"/>
      <c r="C17" s="278" t="s">
        <v>695</v>
      </c>
      <c r="D17" s="277"/>
      <c r="E17" s="276"/>
      <c r="F17" s="229"/>
      <c r="G17" s="235"/>
      <c r="H17" s="213"/>
    </row>
    <row r="18" spans="1:15" x14ac:dyDescent="0.25">
      <c r="A18" s="219"/>
      <c r="B18" s="239"/>
      <c r="C18" s="278" t="s">
        <v>699</v>
      </c>
      <c r="D18" s="277"/>
      <c r="E18" s="276"/>
      <c r="F18" s="229"/>
      <c r="G18" s="235"/>
      <c r="H18" s="213"/>
    </row>
    <row r="19" spans="1:15" x14ac:dyDescent="0.25">
      <c r="A19" s="219"/>
      <c r="B19" s="239"/>
      <c r="C19" s="278" t="s">
        <v>698</v>
      </c>
      <c r="D19" s="277"/>
      <c r="E19" s="276"/>
      <c r="F19" s="229"/>
      <c r="G19" s="235"/>
      <c r="H19" s="213"/>
    </row>
    <row r="20" spans="1:15" x14ac:dyDescent="0.25">
      <c r="A20" s="259"/>
      <c r="B20" s="228" t="s">
        <v>81</v>
      </c>
      <c r="C20" s="260" t="str">
        <f>CONCATENATE(B1," ",C1)</f>
        <v xml:space="preserve"> </v>
      </c>
      <c r="D20" s="259"/>
      <c r="E20" s="209"/>
      <c r="F20" s="209"/>
      <c r="G20" s="258">
        <f>SUM(G8:G19)</f>
        <v>6516</v>
      </c>
      <c r="H20" s="213"/>
    </row>
    <row r="21" spans="1:15" s="205" customFormat="1" x14ac:dyDescent="0.25">
      <c r="A21" s="226" t="s">
        <v>58</v>
      </c>
      <c r="B21" s="225" t="s">
        <v>165</v>
      </c>
      <c r="C21" s="224" t="s">
        <v>166</v>
      </c>
      <c r="D21" s="219"/>
      <c r="E21" s="223"/>
      <c r="F21" s="222"/>
      <c r="G21" s="221"/>
      <c r="H21" s="241"/>
      <c r="I21" s="196"/>
      <c r="J21" s="196"/>
      <c r="K21" s="196"/>
      <c r="L21" s="196"/>
      <c r="O21" s="196"/>
    </row>
    <row r="22" spans="1:15" s="205" customFormat="1" ht="22.5" x14ac:dyDescent="0.25">
      <c r="A22" s="219" t="s">
        <v>637</v>
      </c>
      <c r="B22" s="230" t="s">
        <v>688</v>
      </c>
      <c r="C22" s="217" t="s">
        <v>687</v>
      </c>
      <c r="D22" s="216" t="s">
        <v>76</v>
      </c>
      <c r="E22" s="215">
        <v>2</v>
      </c>
      <c r="F22" s="215">
        <v>6526.2499999999991</v>
      </c>
      <c r="G22" s="214">
        <f>E22*F22</f>
        <v>13052.499999999998</v>
      </c>
      <c r="H22" s="213" t="s">
        <v>635</v>
      </c>
      <c r="I22" s="196"/>
      <c r="J22" s="196"/>
      <c r="K22" s="196"/>
      <c r="L22" s="196"/>
      <c r="O22" s="196"/>
    </row>
    <row r="23" spans="1:15" x14ac:dyDescent="0.25">
      <c r="A23" s="219"/>
      <c r="B23" s="239"/>
      <c r="C23" s="278" t="s">
        <v>695</v>
      </c>
      <c r="D23" s="277"/>
      <c r="E23" s="276"/>
      <c r="F23" s="229"/>
      <c r="G23" s="235"/>
      <c r="H23" s="213"/>
    </row>
    <row r="24" spans="1:15" x14ac:dyDescent="0.25">
      <c r="A24" s="219"/>
      <c r="B24" s="239"/>
      <c r="C24" s="278" t="s">
        <v>697</v>
      </c>
      <c r="D24" s="277"/>
      <c r="E24" s="276"/>
      <c r="F24" s="229"/>
      <c r="G24" s="235"/>
      <c r="H24" s="213"/>
    </row>
    <row r="25" spans="1:15" s="205" customFormat="1" x14ac:dyDescent="0.25">
      <c r="A25" s="210"/>
      <c r="B25" s="212" t="s">
        <v>81</v>
      </c>
      <c r="C25" s="211" t="s">
        <v>682</v>
      </c>
      <c r="D25" s="210"/>
      <c r="E25" s="209"/>
      <c r="F25" s="208"/>
      <c r="G25" s="207">
        <f>SUM(G21:G22)</f>
        <v>13052.499999999998</v>
      </c>
      <c r="H25" s="206"/>
      <c r="I25" s="196"/>
      <c r="J25" s="196"/>
      <c r="K25" s="196"/>
      <c r="L25" s="196"/>
    </row>
    <row r="26" spans="1:15" s="205" customFormat="1" x14ac:dyDescent="0.25">
      <c r="A26" s="226" t="s">
        <v>58</v>
      </c>
      <c r="B26" s="225" t="s">
        <v>196</v>
      </c>
      <c r="C26" s="224" t="s">
        <v>197</v>
      </c>
      <c r="D26" s="219"/>
      <c r="E26" s="223"/>
      <c r="F26" s="222"/>
      <c r="G26" s="221"/>
      <c r="H26" s="220"/>
      <c r="I26" s="196"/>
      <c r="J26" s="196"/>
      <c r="K26" s="196"/>
      <c r="L26" s="196"/>
    </row>
    <row r="27" spans="1:15" s="205" customFormat="1" ht="22.5" x14ac:dyDescent="0.25">
      <c r="A27" s="219" t="s">
        <v>637</v>
      </c>
      <c r="B27" s="218" t="s">
        <v>198</v>
      </c>
      <c r="C27" s="217" t="s">
        <v>696</v>
      </c>
      <c r="D27" s="216" t="s">
        <v>135</v>
      </c>
      <c r="E27" s="215">
        <v>1</v>
      </c>
      <c r="F27" s="229">
        <v>102600.25</v>
      </c>
      <c r="G27" s="214">
        <f>E27*F27</f>
        <v>102600.25</v>
      </c>
      <c r="H27" s="213" t="s">
        <v>635</v>
      </c>
      <c r="I27" s="196"/>
      <c r="J27" s="196"/>
      <c r="K27" s="196"/>
      <c r="L27" s="196"/>
    </row>
    <row r="28" spans="1:15" x14ac:dyDescent="0.25">
      <c r="A28" s="219"/>
      <c r="B28" s="239"/>
      <c r="C28" s="278" t="s">
        <v>695</v>
      </c>
      <c r="D28" s="277"/>
      <c r="E28" s="276"/>
      <c r="F28" s="229"/>
      <c r="G28" s="235"/>
      <c r="H28" s="213"/>
    </row>
    <row r="29" spans="1:15" s="205" customFormat="1" x14ac:dyDescent="0.25">
      <c r="A29" s="210"/>
      <c r="B29" s="212" t="s">
        <v>81</v>
      </c>
      <c r="C29" s="211" t="s">
        <v>694</v>
      </c>
      <c r="D29" s="210"/>
      <c r="E29" s="209"/>
      <c r="F29" s="208"/>
      <c r="G29" s="207">
        <f>SUM(G26:G27)</f>
        <v>102600.25</v>
      </c>
      <c r="H29" s="206"/>
      <c r="I29" s="196"/>
      <c r="J29" s="196"/>
      <c r="K29" s="196"/>
      <c r="L29" s="196"/>
    </row>
    <row r="30" spans="1:15" s="205" customFormat="1" x14ac:dyDescent="0.25">
      <c r="A30" s="226" t="s">
        <v>58</v>
      </c>
      <c r="B30" s="225" t="s">
        <v>241</v>
      </c>
      <c r="C30" s="224" t="s">
        <v>242</v>
      </c>
      <c r="D30" s="219"/>
      <c r="E30" s="223"/>
      <c r="F30" s="222"/>
      <c r="G30" s="221"/>
      <c r="H30" s="220"/>
      <c r="I30" s="196"/>
      <c r="J30" s="196"/>
      <c r="K30" s="196"/>
      <c r="L30" s="196"/>
    </row>
    <row r="31" spans="1:15" s="205" customFormat="1" ht="22.5" x14ac:dyDescent="0.25">
      <c r="A31" s="219" t="s">
        <v>637</v>
      </c>
      <c r="B31" s="218" t="s">
        <v>198</v>
      </c>
      <c r="C31" s="217" t="s">
        <v>244</v>
      </c>
      <c r="D31" s="216" t="s">
        <v>135</v>
      </c>
      <c r="E31" s="215">
        <v>1</v>
      </c>
      <c r="F31" s="229">
        <v>5551.73</v>
      </c>
      <c r="G31" s="214">
        <f>E31*F31</f>
        <v>5551.73</v>
      </c>
      <c r="H31" s="279" t="s">
        <v>693</v>
      </c>
      <c r="I31" s="196"/>
      <c r="J31" s="196"/>
      <c r="K31" s="196"/>
      <c r="L31" s="196"/>
    </row>
    <row r="32" spans="1:15" s="205" customFormat="1" ht="22.5" x14ac:dyDescent="0.25">
      <c r="A32" s="219">
        <v>57</v>
      </c>
      <c r="B32" s="218" t="s">
        <v>245</v>
      </c>
      <c r="C32" s="240" t="s">
        <v>246</v>
      </c>
      <c r="D32" s="216" t="s">
        <v>135</v>
      </c>
      <c r="E32" s="215">
        <v>1</v>
      </c>
      <c r="F32" s="215">
        <v>13114.599999999999</v>
      </c>
      <c r="G32" s="214">
        <f>E32*F32</f>
        <v>13114.599999999999</v>
      </c>
      <c r="H32" s="279" t="s">
        <v>692</v>
      </c>
      <c r="I32" s="196"/>
      <c r="J32" s="196"/>
      <c r="K32" s="196"/>
      <c r="L32" s="196"/>
    </row>
    <row r="33" spans="1:12" s="205" customFormat="1" x14ac:dyDescent="0.25">
      <c r="A33" s="210"/>
      <c r="B33" s="212" t="s">
        <v>81</v>
      </c>
      <c r="C33" s="211" t="s">
        <v>691</v>
      </c>
      <c r="D33" s="210"/>
      <c r="E33" s="209"/>
      <c r="F33" s="208"/>
      <c r="G33" s="207">
        <f>SUM(G30:G32)</f>
        <v>18666.329999999998</v>
      </c>
      <c r="H33" s="206"/>
      <c r="I33" s="196"/>
      <c r="J33" s="196"/>
      <c r="K33" s="196"/>
      <c r="L33" s="196"/>
    </row>
    <row r="35" spans="1:12" x14ac:dyDescent="0.25">
      <c r="A35" s="202"/>
      <c r="B35" s="204" t="s">
        <v>81</v>
      </c>
      <c r="C35" s="203"/>
      <c r="D35" s="202"/>
      <c r="E35" s="201"/>
      <c r="F35" s="200"/>
      <c r="G35" s="199">
        <f>G33+G29+G25+G20</f>
        <v>140835.07999999999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G49"/>
  <sheetViews>
    <sheetView zoomScale="130" zoomScaleNormal="130" workbookViewId="0">
      <selection activeCell="E20" sqref="E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7" width="15.7109375" customWidth="1"/>
  </cols>
  <sheetData>
    <row r="1" spans="1:7" ht="13.5" thickTop="1" x14ac:dyDescent="0.2">
      <c r="A1" s="362" t="s">
        <v>4</v>
      </c>
      <c r="B1" s="363"/>
      <c r="C1" s="55" t="str">
        <f>CONCATENATE(cislostavby," ",nazevstavby)</f>
        <v xml:space="preserve"> REKONSTRUKCE PROSTOR PRO DOKTORANDSKÁ STUDIA</v>
      </c>
      <c r="D1" s="56"/>
      <c r="E1" s="57"/>
      <c r="F1" s="56"/>
      <c r="G1" s="174"/>
    </row>
    <row r="2" spans="1:7" ht="13.5" thickBot="1" x14ac:dyDescent="0.25">
      <c r="A2" s="364" t="s">
        <v>1</v>
      </c>
      <c r="B2" s="365"/>
      <c r="C2" s="58" t="str">
        <f>CONCATENATE(cisloobjektu," ",nazevobjektu)</f>
        <v xml:space="preserve"> FF UK OSIP PRAHA 1, NÁM. JANA PALACHA 2</v>
      </c>
      <c r="D2" s="59"/>
      <c r="E2" s="60"/>
      <c r="F2" s="59"/>
      <c r="G2" s="175"/>
    </row>
    <row r="3" spans="1:7" ht="13.5" thickTop="1" x14ac:dyDescent="0.2"/>
    <row r="5" spans="1:7" ht="19.5" customHeight="1" x14ac:dyDescent="0.25">
      <c r="A5" s="159" t="s">
        <v>40</v>
      </c>
      <c r="B5" s="1"/>
      <c r="C5" s="1"/>
      <c r="D5" s="1"/>
      <c r="E5" s="1"/>
      <c r="F5" s="1"/>
      <c r="G5" s="1"/>
    </row>
    <row r="6" spans="1:7" ht="13.5" thickBot="1" x14ac:dyDescent="0.25">
      <c r="B6" s="67"/>
      <c r="F6" s="72"/>
      <c r="G6" s="73"/>
    </row>
    <row r="7" spans="1:7" ht="24.95" customHeight="1" thickBot="1" x14ac:dyDescent="0.25">
      <c r="A7" s="161" t="s">
        <v>41</v>
      </c>
      <c r="B7" s="61"/>
      <c r="C7" s="61"/>
      <c r="D7" s="62"/>
      <c r="E7" s="160" t="s">
        <v>42</v>
      </c>
      <c r="F7" s="67"/>
      <c r="G7" s="67"/>
    </row>
    <row r="8" spans="1:7" ht="24.95" customHeight="1" x14ac:dyDescent="0.2">
      <c r="A8" s="89" t="s">
        <v>18</v>
      </c>
      <c r="B8" s="63"/>
      <c r="D8" s="64"/>
      <c r="E8" s="64">
        <f>'1.NP'!G186</f>
        <v>2205145.30736</v>
      </c>
      <c r="F8" s="128"/>
      <c r="G8" s="128"/>
    </row>
    <row r="9" spans="1:7" ht="24.95" customHeight="1" x14ac:dyDescent="0.2">
      <c r="A9" s="89" t="s">
        <v>740</v>
      </c>
      <c r="B9" s="63"/>
      <c r="D9" s="64"/>
      <c r="E9" s="64">
        <f>'1.NP ZL č.3'!G55</f>
        <v>145159.20360000001</v>
      </c>
      <c r="F9" s="128"/>
      <c r="G9" s="128"/>
    </row>
    <row r="10" spans="1:7" ht="24.95" customHeight="1" x14ac:dyDescent="0.2">
      <c r="A10" s="89" t="s">
        <v>19</v>
      </c>
      <c r="B10" s="63"/>
      <c r="D10" s="64"/>
      <c r="E10" s="64">
        <f>'2.NP'!G152</f>
        <v>2800900.1132199997</v>
      </c>
      <c r="F10" s="128"/>
      <c r="G10" s="128"/>
    </row>
    <row r="11" spans="1:7" ht="24.95" customHeight="1" x14ac:dyDescent="0.2">
      <c r="A11" s="89" t="s">
        <v>20</v>
      </c>
      <c r="B11" s="63"/>
      <c r="D11" s="64"/>
      <c r="E11" s="64">
        <f>'3.NP'!G207</f>
        <v>2821994.2831799998</v>
      </c>
      <c r="F11" s="128"/>
      <c r="G11" s="128"/>
    </row>
    <row r="12" spans="1:7" ht="24.95" customHeight="1" x14ac:dyDescent="0.2">
      <c r="A12" s="89" t="s">
        <v>708</v>
      </c>
      <c r="B12" s="63"/>
      <c r="D12" s="64"/>
      <c r="E12" s="64">
        <f>'3.NP ZL č.2'!G12</f>
        <v>6526.2499999999991</v>
      </c>
      <c r="F12" s="128"/>
      <c r="G12" s="128"/>
    </row>
    <row r="13" spans="1:7" ht="24.95" customHeight="1" x14ac:dyDescent="0.2">
      <c r="A13" s="89" t="s">
        <v>21</v>
      </c>
      <c r="B13" s="63"/>
      <c r="D13" s="64"/>
      <c r="E13" s="64">
        <f>'4.NP'!G260</f>
        <v>6201438.6550199995</v>
      </c>
      <c r="F13" s="128"/>
      <c r="G13" s="128"/>
    </row>
    <row r="14" spans="1:7" ht="24.95" customHeight="1" x14ac:dyDescent="0.2">
      <c r="A14" s="89" t="s">
        <v>709</v>
      </c>
      <c r="B14" s="63"/>
      <c r="D14" s="64"/>
      <c r="E14" s="64">
        <f>'4.NP ZL č.2'!G15</f>
        <v>26104.999999999996</v>
      </c>
      <c r="F14" s="128"/>
      <c r="G14" s="128"/>
    </row>
    <row r="15" spans="1:7" ht="24.95" customHeight="1" x14ac:dyDescent="0.2">
      <c r="A15" s="89" t="s">
        <v>22</v>
      </c>
      <c r="B15" s="63"/>
      <c r="D15" s="64"/>
      <c r="E15" s="64">
        <f>'5.NP'!G282</f>
        <v>4858202.9936400009</v>
      </c>
      <c r="F15" s="128"/>
      <c r="G15" s="128"/>
    </row>
    <row r="16" spans="1:7" ht="24.95" customHeight="1" x14ac:dyDescent="0.2">
      <c r="A16" s="89" t="s">
        <v>681</v>
      </c>
      <c r="D16" s="64"/>
      <c r="E16" s="64">
        <f>'5.NP ZL č.1 '!G79</f>
        <v>72872.311835200002</v>
      </c>
      <c r="F16" s="128"/>
      <c r="G16" s="128"/>
    </row>
    <row r="17" spans="1:7" ht="24.95" customHeight="1" thickBot="1" x14ac:dyDescent="0.25">
      <c r="A17" s="89" t="s">
        <v>707</v>
      </c>
      <c r="D17" s="64"/>
      <c r="E17" s="64">
        <f>'5.NP ZL č.2'!G35</f>
        <v>140835.07999999999</v>
      </c>
      <c r="F17" s="128"/>
      <c r="G17" s="128"/>
    </row>
    <row r="18" spans="1:7" ht="24.95" customHeight="1" thickBot="1" x14ac:dyDescent="0.25">
      <c r="A18" s="65" t="s">
        <v>23</v>
      </c>
      <c r="B18" s="61"/>
      <c r="C18" s="61"/>
      <c r="D18" s="66"/>
      <c r="E18" s="172">
        <f>SUM(E8:E17)</f>
        <v>19279179.197855201</v>
      </c>
      <c r="F18" s="129"/>
      <c r="G18" s="129"/>
    </row>
    <row r="19" spans="1:7" x14ac:dyDescent="0.2">
      <c r="F19" s="72"/>
      <c r="G19" s="73"/>
    </row>
    <row r="20" spans="1:7" x14ac:dyDescent="0.2">
      <c r="F20" s="72"/>
      <c r="G20" s="73"/>
    </row>
    <row r="21" spans="1:7" ht="18" x14ac:dyDescent="0.25">
      <c r="A21" s="162" t="s">
        <v>43</v>
      </c>
      <c r="B21" s="1"/>
      <c r="C21" s="1"/>
      <c r="D21" s="1"/>
      <c r="E21" s="1"/>
      <c r="F21" s="1"/>
      <c r="G21" s="68"/>
    </row>
    <row r="22" spans="1:7" ht="13.5" thickBot="1" x14ac:dyDescent="0.25"/>
    <row r="23" spans="1:7" ht="24.95" customHeight="1" x14ac:dyDescent="0.2">
      <c r="A23" s="69" t="s">
        <v>44</v>
      </c>
      <c r="B23" s="70"/>
      <c r="C23" s="70"/>
      <c r="D23" s="164"/>
      <c r="E23" s="165" t="s">
        <v>45</v>
      </c>
      <c r="F23" s="71" t="s">
        <v>46</v>
      </c>
      <c r="G23" s="163" t="s">
        <v>47</v>
      </c>
    </row>
    <row r="24" spans="1:7" ht="24.95" customHeight="1" thickBot="1" x14ac:dyDescent="0.25">
      <c r="A24" s="166" t="s">
        <v>48</v>
      </c>
      <c r="B24" s="167"/>
      <c r="C24" s="167"/>
      <c r="D24" s="167"/>
      <c r="E24" s="195">
        <v>4.5</v>
      </c>
      <c r="F24" s="168">
        <f>E18</f>
        <v>19279179.197855201</v>
      </c>
      <c r="G24" s="169">
        <f>F24/100*E24</f>
        <v>867563.06390348403</v>
      </c>
    </row>
    <row r="25" spans="1:7" ht="24.95" customHeight="1" thickBot="1" x14ac:dyDescent="0.25">
      <c r="A25" s="366" t="s">
        <v>49</v>
      </c>
      <c r="B25" s="367"/>
      <c r="C25" s="367"/>
      <c r="D25" s="368"/>
      <c r="E25" s="170"/>
      <c r="F25" s="171"/>
      <c r="G25" s="173">
        <f>G24</f>
        <v>867563.06390348403</v>
      </c>
    </row>
    <row r="26" spans="1:7" x14ac:dyDescent="0.2">
      <c r="F26" s="72"/>
      <c r="G26" s="73"/>
    </row>
    <row r="27" spans="1:7" x14ac:dyDescent="0.2">
      <c r="F27" s="72"/>
      <c r="G27" s="73"/>
    </row>
    <row r="28" spans="1:7" x14ac:dyDescent="0.2">
      <c r="F28" s="72"/>
      <c r="G28" s="73"/>
    </row>
    <row r="29" spans="1:7" x14ac:dyDescent="0.2">
      <c r="F29" s="72"/>
      <c r="G29" s="73"/>
    </row>
    <row r="30" spans="1:7" x14ac:dyDescent="0.2">
      <c r="F30" s="72"/>
      <c r="G30" s="73"/>
    </row>
    <row r="31" spans="1:7" x14ac:dyDescent="0.2">
      <c r="F31" s="72"/>
      <c r="G31" s="73"/>
    </row>
    <row r="32" spans="1:7" x14ac:dyDescent="0.2">
      <c r="F32" s="72"/>
      <c r="G32" s="73"/>
    </row>
    <row r="33" spans="6:7" x14ac:dyDescent="0.2">
      <c r="F33" s="72"/>
      <c r="G33" s="73"/>
    </row>
    <row r="34" spans="6:7" x14ac:dyDescent="0.2">
      <c r="F34" s="72"/>
      <c r="G34" s="73"/>
    </row>
    <row r="35" spans="6:7" x14ac:dyDescent="0.2">
      <c r="F35" s="72"/>
      <c r="G35" s="73"/>
    </row>
    <row r="36" spans="6:7" x14ac:dyDescent="0.2">
      <c r="F36" s="72"/>
      <c r="G36" s="73"/>
    </row>
    <row r="37" spans="6:7" x14ac:dyDescent="0.2">
      <c r="F37" s="72"/>
      <c r="G37" s="73"/>
    </row>
    <row r="38" spans="6:7" x14ac:dyDescent="0.2">
      <c r="F38" s="72"/>
      <c r="G38" s="73"/>
    </row>
    <row r="39" spans="6:7" x14ac:dyDescent="0.2">
      <c r="F39" s="72"/>
      <c r="G39" s="73"/>
    </row>
    <row r="40" spans="6:7" x14ac:dyDescent="0.2">
      <c r="F40" s="72"/>
      <c r="G40" s="73"/>
    </row>
    <row r="41" spans="6:7" x14ac:dyDescent="0.2">
      <c r="F41" s="72"/>
      <c r="G41" s="73"/>
    </row>
    <row r="42" spans="6:7" x14ac:dyDescent="0.2">
      <c r="F42" s="72"/>
      <c r="G42" s="73"/>
    </row>
    <row r="43" spans="6:7" x14ac:dyDescent="0.2">
      <c r="F43" s="72"/>
      <c r="G43" s="73"/>
    </row>
    <row r="44" spans="6:7" x14ac:dyDescent="0.2">
      <c r="F44" s="72"/>
      <c r="G44" s="73"/>
    </row>
    <row r="45" spans="6:7" x14ac:dyDescent="0.2">
      <c r="F45" s="72"/>
      <c r="G45" s="73"/>
    </row>
    <row r="46" spans="6:7" x14ac:dyDescent="0.2">
      <c r="F46" s="72"/>
      <c r="G46" s="73"/>
    </row>
    <row r="47" spans="6:7" x14ac:dyDescent="0.2">
      <c r="F47" s="72"/>
      <c r="G47" s="73"/>
    </row>
    <row r="48" spans="6:7" x14ac:dyDescent="0.2">
      <c r="F48" s="72"/>
      <c r="G48" s="73"/>
    </row>
    <row r="49" spans="6:7" x14ac:dyDescent="0.2">
      <c r="F49" s="72"/>
      <c r="G49" s="73"/>
    </row>
  </sheetData>
  <mergeCells count="3">
    <mergeCell ref="A1:B1"/>
    <mergeCell ref="A2:B2"/>
    <mergeCell ref="A25:D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214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69" t="s">
        <v>50</v>
      </c>
      <c r="B1" s="369"/>
      <c r="C1" s="369"/>
      <c r="D1" s="369"/>
      <c r="E1" s="369"/>
      <c r="F1" s="369"/>
      <c r="G1" s="369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362" t="s">
        <v>4</v>
      </c>
      <c r="B3" s="363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18</v>
      </c>
    </row>
    <row r="4" spans="1:10" ht="13.5" thickBot="1" x14ac:dyDescent="0.25">
      <c r="A4" s="370" t="s">
        <v>1</v>
      </c>
      <c r="B4" s="365"/>
      <c r="C4" s="58" t="str">
        <f>CONCATENATE(cisloobjektu," ",nazevobjektu)</f>
        <v xml:space="preserve"> FF UK OSIP PRAHA 1, NÁM. JANA PALACHA 2</v>
      </c>
      <c r="D4" s="59"/>
      <c r="E4" s="371"/>
      <c r="F4" s="371"/>
      <c r="G4" s="372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96">
        <v>1</v>
      </c>
      <c r="B8" s="120" t="s">
        <v>61</v>
      </c>
      <c r="C8" s="98" t="s">
        <v>62</v>
      </c>
      <c r="D8" s="99" t="s">
        <v>63</v>
      </c>
      <c r="E8" s="109">
        <f>SUM(E9:E12)</f>
        <v>8</v>
      </c>
      <c r="F8" s="109">
        <v>1150</v>
      </c>
      <c r="G8" s="101">
        <f t="shared" ref="G8:G21" si="0">E8*F8</f>
        <v>9200</v>
      </c>
      <c r="H8" s="137"/>
      <c r="I8" s="114"/>
      <c r="J8" s="111"/>
    </row>
    <row r="9" spans="1:10" x14ac:dyDescent="0.2">
      <c r="A9" s="96"/>
      <c r="B9" s="120"/>
      <c r="C9" s="124" t="s">
        <v>64</v>
      </c>
      <c r="D9" s="125"/>
      <c r="E9" s="126">
        <f>2*1*1</f>
        <v>2</v>
      </c>
      <c r="F9" s="109"/>
      <c r="G9" s="101">
        <f t="shared" si="0"/>
        <v>0</v>
      </c>
      <c r="H9" s="137"/>
      <c r="I9" s="114"/>
      <c r="J9" s="111"/>
    </row>
    <row r="10" spans="1:10" x14ac:dyDescent="0.2">
      <c r="A10" s="96"/>
      <c r="B10" s="120"/>
      <c r="C10" s="124" t="s">
        <v>65</v>
      </c>
      <c r="D10" s="125"/>
      <c r="E10" s="126">
        <f>2*1*1</f>
        <v>2</v>
      </c>
      <c r="F10" s="109"/>
      <c r="G10" s="101">
        <f t="shared" si="0"/>
        <v>0</v>
      </c>
      <c r="H10" s="137"/>
      <c r="I10" s="114"/>
      <c r="J10" s="111"/>
    </row>
    <row r="11" spans="1:10" x14ac:dyDescent="0.2">
      <c r="A11" s="96"/>
      <c r="B11" s="120"/>
      <c r="C11" s="124" t="s">
        <v>66</v>
      </c>
      <c r="D11" s="125"/>
      <c r="E11" s="126">
        <f>2*1*1</f>
        <v>2</v>
      </c>
      <c r="F11" s="109"/>
      <c r="G11" s="101">
        <f t="shared" si="0"/>
        <v>0</v>
      </c>
      <c r="H11" s="137"/>
      <c r="I11" s="114"/>
      <c r="J11" s="111"/>
    </row>
    <row r="12" spans="1:10" x14ac:dyDescent="0.2">
      <c r="A12" s="96"/>
      <c r="B12" s="120"/>
      <c r="C12" s="124" t="s">
        <v>67</v>
      </c>
      <c r="D12" s="125"/>
      <c r="E12" s="126">
        <f>2*1*1</f>
        <v>2</v>
      </c>
      <c r="F12" s="109"/>
      <c r="G12" s="101">
        <f t="shared" si="0"/>
        <v>0</v>
      </c>
      <c r="H12" s="137"/>
      <c r="I12" s="114"/>
      <c r="J12" s="111"/>
    </row>
    <row r="13" spans="1:10" ht="22.5" x14ac:dyDescent="0.2">
      <c r="A13" s="96">
        <v>2</v>
      </c>
      <c r="B13" s="120" t="s">
        <v>68</v>
      </c>
      <c r="C13" s="98" t="s">
        <v>69</v>
      </c>
      <c r="D13" s="99" t="s">
        <v>63</v>
      </c>
      <c r="E13" s="109">
        <f>SUM(E14:E17)</f>
        <v>96.2</v>
      </c>
      <c r="F13" s="109">
        <v>280</v>
      </c>
      <c r="G13" s="101">
        <f t="shared" si="0"/>
        <v>26936</v>
      </c>
      <c r="I13" s="114"/>
      <c r="J13" s="111"/>
    </row>
    <row r="14" spans="1:10" x14ac:dyDescent="0.2">
      <c r="A14" s="96"/>
      <c r="B14" s="120"/>
      <c r="C14" s="124" t="s">
        <v>70</v>
      </c>
      <c r="D14" s="125"/>
      <c r="E14" s="126">
        <f>3.7*6.5</f>
        <v>24.05</v>
      </c>
      <c r="F14" s="109"/>
      <c r="G14" s="101">
        <f t="shared" si="0"/>
        <v>0</v>
      </c>
      <c r="I14" s="114"/>
      <c r="J14" s="111"/>
    </row>
    <row r="15" spans="1:10" x14ac:dyDescent="0.2">
      <c r="A15" s="96"/>
      <c r="B15" s="120"/>
      <c r="C15" s="124" t="s">
        <v>71</v>
      </c>
      <c r="D15" s="125"/>
      <c r="E15" s="126">
        <f>3.7*6.5</f>
        <v>24.05</v>
      </c>
      <c r="F15" s="109"/>
      <c r="G15" s="101">
        <f t="shared" si="0"/>
        <v>0</v>
      </c>
      <c r="I15" s="114"/>
      <c r="J15" s="111"/>
    </row>
    <row r="16" spans="1:10" x14ac:dyDescent="0.2">
      <c r="A16" s="96"/>
      <c r="B16" s="120"/>
      <c r="C16" s="124" t="s">
        <v>72</v>
      </c>
      <c r="D16" s="125"/>
      <c r="E16" s="126">
        <f>3.7*6.5</f>
        <v>24.05</v>
      </c>
      <c r="F16" s="109"/>
      <c r="G16" s="101">
        <f t="shared" si="0"/>
        <v>0</v>
      </c>
      <c r="I16" s="114"/>
      <c r="J16" s="111"/>
    </row>
    <row r="17" spans="1:23" x14ac:dyDescent="0.2">
      <c r="A17" s="96"/>
      <c r="B17" s="120"/>
      <c r="C17" s="124" t="s">
        <v>73</v>
      </c>
      <c r="D17" s="125"/>
      <c r="E17" s="126">
        <f>3.7*6.5</f>
        <v>24.05</v>
      </c>
      <c r="F17" s="109"/>
      <c r="G17" s="101">
        <f t="shared" si="0"/>
        <v>0</v>
      </c>
      <c r="I17" s="114"/>
      <c r="J17" s="111"/>
    </row>
    <row r="18" spans="1:23" x14ac:dyDescent="0.2">
      <c r="A18" s="96">
        <v>3</v>
      </c>
      <c r="B18" s="120" t="s">
        <v>74</v>
      </c>
      <c r="C18" s="98" t="s">
        <v>75</v>
      </c>
      <c r="D18" s="99" t="s">
        <v>76</v>
      </c>
      <c r="E18" s="109">
        <f>SUM(E19:E22)</f>
        <v>8</v>
      </c>
      <c r="F18" s="109">
        <v>180</v>
      </c>
      <c r="G18" s="101">
        <f t="shared" si="0"/>
        <v>1440</v>
      </c>
      <c r="H18" s="136"/>
      <c r="I18" s="114"/>
      <c r="J18" s="111"/>
    </row>
    <row r="19" spans="1:23" x14ac:dyDescent="0.2">
      <c r="A19" s="96"/>
      <c r="B19" s="120"/>
      <c r="C19" s="124" t="s">
        <v>77</v>
      </c>
      <c r="D19" s="125"/>
      <c r="E19" s="126">
        <v>2</v>
      </c>
      <c r="F19" s="109"/>
      <c r="G19" s="101">
        <f t="shared" si="0"/>
        <v>0</v>
      </c>
      <c r="I19" s="139"/>
      <c r="J19" s="111"/>
    </row>
    <row r="20" spans="1:23" x14ac:dyDescent="0.2">
      <c r="A20" s="96"/>
      <c r="B20" s="120"/>
      <c r="C20" s="124" t="s">
        <v>78</v>
      </c>
      <c r="D20" s="125"/>
      <c r="E20" s="126">
        <v>2</v>
      </c>
      <c r="F20" s="100"/>
      <c r="G20" s="101">
        <f t="shared" si="0"/>
        <v>0</v>
      </c>
      <c r="I20" s="114"/>
      <c r="J20" s="111"/>
    </row>
    <row r="21" spans="1:23" x14ac:dyDescent="0.2">
      <c r="A21" s="96"/>
      <c r="B21" s="120"/>
      <c r="C21" s="124" t="s">
        <v>79</v>
      </c>
      <c r="D21" s="125"/>
      <c r="E21" s="126">
        <v>2</v>
      </c>
      <c r="F21" s="100"/>
      <c r="G21" s="101">
        <f t="shared" si="0"/>
        <v>0</v>
      </c>
      <c r="I21" s="114"/>
      <c r="J21" s="111"/>
    </row>
    <row r="22" spans="1:23" x14ac:dyDescent="0.2">
      <c r="A22" s="96"/>
      <c r="B22" s="120"/>
      <c r="C22" s="124" t="s">
        <v>80</v>
      </c>
      <c r="D22" s="125"/>
      <c r="E22" s="126">
        <v>2</v>
      </c>
      <c r="F22" s="100"/>
      <c r="G22" s="101"/>
      <c r="I22" s="114"/>
      <c r="J22" s="111"/>
    </row>
    <row r="23" spans="1:23" x14ac:dyDescent="0.2">
      <c r="A23" s="102"/>
      <c r="B23" s="121" t="s">
        <v>81</v>
      </c>
      <c r="C23" s="104" t="str">
        <f>CONCATENATE(B7," ",C7)</f>
        <v>4 Vodorovné konstukce</v>
      </c>
      <c r="D23" s="102"/>
      <c r="E23" s="118"/>
      <c r="F23" s="105">
        <v>0</v>
      </c>
      <c r="G23" s="106">
        <f>SUM(G7:G22)</f>
        <v>37576</v>
      </c>
      <c r="I23" s="114"/>
      <c r="J23" s="111"/>
    </row>
    <row r="24" spans="1:23" x14ac:dyDescent="0.2">
      <c r="A24" s="90" t="s">
        <v>58</v>
      </c>
      <c r="B24" s="119" t="s">
        <v>82</v>
      </c>
      <c r="C24" s="92" t="s">
        <v>83</v>
      </c>
      <c r="D24" s="93"/>
      <c r="E24" s="117"/>
      <c r="F24" s="94">
        <v>0</v>
      </c>
      <c r="G24" s="95"/>
      <c r="I24" s="112"/>
      <c r="J24" s="111"/>
    </row>
    <row r="25" spans="1:23" x14ac:dyDescent="0.2">
      <c r="A25" s="96">
        <v>4</v>
      </c>
      <c r="B25" s="120" t="s">
        <v>84</v>
      </c>
      <c r="C25" s="98" t="s">
        <v>85</v>
      </c>
      <c r="D25" s="99" t="s">
        <v>86</v>
      </c>
      <c r="E25" s="109">
        <f>SUM(E26:E29)</f>
        <v>80.8</v>
      </c>
      <c r="F25" s="100">
        <v>95</v>
      </c>
      <c r="G25" s="101">
        <f t="shared" ref="G25:G48" si="1">E25*F25</f>
        <v>7676</v>
      </c>
      <c r="H25" s="136"/>
      <c r="I25" s="113"/>
      <c r="J25" s="111"/>
      <c r="W25" s="74">
        <v>0</v>
      </c>
    </row>
    <row r="26" spans="1:23" x14ac:dyDescent="0.2">
      <c r="A26" s="96"/>
      <c r="B26" s="120"/>
      <c r="C26" s="124" t="s">
        <v>87</v>
      </c>
      <c r="D26" s="125"/>
      <c r="E26" s="126">
        <f>1.3+2.3*2+1+2.3*2+1.9+2.4*2+1*2</f>
        <v>20.2</v>
      </c>
      <c r="F26" s="100"/>
      <c r="G26" s="101">
        <f t="shared" si="1"/>
        <v>0</v>
      </c>
      <c r="I26" s="113"/>
      <c r="J26" s="111"/>
    </row>
    <row r="27" spans="1:23" x14ac:dyDescent="0.2">
      <c r="A27" s="96"/>
      <c r="B27" s="120"/>
      <c r="C27" s="124" t="s">
        <v>88</v>
      </c>
      <c r="D27" s="125"/>
      <c r="E27" s="126">
        <f>1.3+2.3*2+1+2.3*2+1.9+2.4*2+1*2</f>
        <v>20.2</v>
      </c>
      <c r="F27" s="100"/>
      <c r="G27" s="101">
        <f t="shared" si="1"/>
        <v>0</v>
      </c>
      <c r="I27" s="113"/>
      <c r="J27" s="111"/>
    </row>
    <row r="28" spans="1:23" x14ac:dyDescent="0.2">
      <c r="A28" s="96"/>
      <c r="B28" s="120"/>
      <c r="C28" s="124" t="s">
        <v>89</v>
      </c>
      <c r="D28" s="125"/>
      <c r="E28" s="126">
        <f>1.3+2.3*2+1+2.3*2+1.9+2.4*2+1*2</f>
        <v>20.2</v>
      </c>
      <c r="F28" s="100"/>
      <c r="G28" s="101">
        <f t="shared" si="1"/>
        <v>0</v>
      </c>
      <c r="I28" s="113"/>
      <c r="J28" s="111"/>
    </row>
    <row r="29" spans="1:23" x14ac:dyDescent="0.2">
      <c r="A29" s="96"/>
      <c r="B29" s="120"/>
      <c r="C29" s="124" t="s">
        <v>90</v>
      </c>
      <c r="D29" s="125"/>
      <c r="E29" s="126">
        <f>1.3+2.3*2+1+2.3*2+1.9+2.4*2+1*2</f>
        <v>20.2</v>
      </c>
      <c r="F29" s="100"/>
      <c r="G29" s="101">
        <f t="shared" si="1"/>
        <v>0</v>
      </c>
      <c r="I29" s="113"/>
      <c r="J29" s="111"/>
    </row>
    <row r="30" spans="1:23" ht="22.5" x14ac:dyDescent="0.2">
      <c r="A30" s="96">
        <v>5</v>
      </c>
      <c r="B30" s="97" t="s">
        <v>91</v>
      </c>
      <c r="C30" s="98" t="s">
        <v>92</v>
      </c>
      <c r="D30" s="99" t="s">
        <v>63</v>
      </c>
      <c r="E30" s="109">
        <f>SUM(E31:E34)</f>
        <v>326.39999999999998</v>
      </c>
      <c r="F30" s="100">
        <v>260</v>
      </c>
      <c r="G30" s="101">
        <f t="shared" si="1"/>
        <v>84864</v>
      </c>
      <c r="H30" s="138"/>
      <c r="I30" s="113"/>
      <c r="J30" s="111"/>
    </row>
    <row r="31" spans="1:23" x14ac:dyDescent="0.2">
      <c r="A31" s="96"/>
      <c r="B31" s="97"/>
      <c r="C31" s="124" t="s">
        <v>93</v>
      </c>
      <c r="D31" s="125"/>
      <c r="E31" s="126">
        <f>(3.7+6.5)*2*4</f>
        <v>81.599999999999994</v>
      </c>
      <c r="F31" s="100"/>
      <c r="G31" s="101">
        <f t="shared" si="1"/>
        <v>0</v>
      </c>
      <c r="H31" s="116"/>
      <c r="I31" s="113"/>
      <c r="J31" s="111"/>
    </row>
    <row r="32" spans="1:23" x14ac:dyDescent="0.2">
      <c r="A32" s="96"/>
      <c r="B32" s="97"/>
      <c r="C32" s="124" t="s">
        <v>94</v>
      </c>
      <c r="D32" s="125"/>
      <c r="E32" s="126">
        <f>(3.7+6.5)*2*4</f>
        <v>81.599999999999994</v>
      </c>
      <c r="F32" s="100"/>
      <c r="G32" s="101">
        <f t="shared" si="1"/>
        <v>0</v>
      </c>
      <c r="H32" s="116"/>
      <c r="I32" s="113"/>
      <c r="J32" s="111"/>
    </row>
    <row r="33" spans="1:10" x14ac:dyDescent="0.2">
      <c r="A33" s="96"/>
      <c r="B33" s="97"/>
      <c r="C33" s="124" t="s">
        <v>95</v>
      </c>
      <c r="D33" s="125"/>
      <c r="E33" s="126">
        <f>(3.7+6.5)*2*4</f>
        <v>81.599999999999994</v>
      </c>
      <c r="F33" s="100"/>
      <c r="G33" s="101">
        <f t="shared" si="1"/>
        <v>0</v>
      </c>
      <c r="H33" s="116"/>
      <c r="I33" s="113"/>
      <c r="J33" s="111"/>
    </row>
    <row r="34" spans="1:10" x14ac:dyDescent="0.2">
      <c r="A34" s="96"/>
      <c r="B34" s="97"/>
      <c r="C34" s="124" t="s">
        <v>96</v>
      </c>
      <c r="D34" s="125"/>
      <c r="E34" s="126">
        <f>(3.7+6.5)*2*4</f>
        <v>81.599999999999994</v>
      </c>
      <c r="F34" s="100"/>
      <c r="G34" s="101">
        <f t="shared" si="1"/>
        <v>0</v>
      </c>
      <c r="H34" s="116"/>
      <c r="I34" s="113"/>
      <c r="J34" s="111"/>
    </row>
    <row r="35" spans="1:10" x14ac:dyDescent="0.2">
      <c r="A35" s="96">
        <v>6</v>
      </c>
      <c r="B35" s="120" t="s">
        <v>97</v>
      </c>
      <c r="C35" s="98" t="s">
        <v>98</v>
      </c>
      <c r="D35" s="99" t="s">
        <v>63</v>
      </c>
      <c r="E35" s="109">
        <f>SUM(E36:E39)</f>
        <v>25.88</v>
      </c>
      <c r="F35" s="100">
        <v>190</v>
      </c>
      <c r="G35" s="101">
        <f t="shared" si="1"/>
        <v>4917.2</v>
      </c>
      <c r="H35" s="138"/>
      <c r="I35" s="113"/>
      <c r="J35" s="111"/>
    </row>
    <row r="36" spans="1:10" x14ac:dyDescent="0.2">
      <c r="A36" s="96"/>
      <c r="B36" s="97"/>
      <c r="C36" s="124" t="s">
        <v>99</v>
      </c>
      <c r="D36" s="125"/>
      <c r="E36" s="126">
        <f>1.9*1.3+2*2</f>
        <v>6.47</v>
      </c>
      <c r="F36" s="100"/>
      <c r="G36" s="101">
        <f t="shared" si="1"/>
        <v>0</v>
      </c>
      <c r="H36" s="116"/>
      <c r="I36" s="113"/>
      <c r="J36" s="111"/>
    </row>
    <row r="37" spans="1:10" x14ac:dyDescent="0.2">
      <c r="A37" s="96"/>
      <c r="B37" s="97"/>
      <c r="C37" s="124" t="s">
        <v>100</v>
      </c>
      <c r="D37" s="125"/>
      <c r="E37" s="126">
        <f>1.9*1.3+2*2</f>
        <v>6.47</v>
      </c>
      <c r="F37" s="100"/>
      <c r="G37" s="101">
        <f t="shared" si="1"/>
        <v>0</v>
      </c>
      <c r="H37" s="116"/>
      <c r="I37" s="113"/>
      <c r="J37" s="111"/>
    </row>
    <row r="38" spans="1:10" x14ac:dyDescent="0.2">
      <c r="A38" s="96"/>
      <c r="B38" s="97"/>
      <c r="C38" s="124" t="s">
        <v>101</v>
      </c>
      <c r="D38" s="125"/>
      <c r="E38" s="126">
        <f>1.9*1.3+2*2</f>
        <v>6.47</v>
      </c>
      <c r="F38" s="100"/>
      <c r="G38" s="101">
        <f t="shared" si="1"/>
        <v>0</v>
      </c>
      <c r="H38" s="116"/>
      <c r="I38" s="113"/>
      <c r="J38" s="111"/>
    </row>
    <row r="39" spans="1:10" x14ac:dyDescent="0.2">
      <c r="A39" s="96"/>
      <c r="B39" s="97"/>
      <c r="C39" s="124" t="s">
        <v>102</v>
      </c>
      <c r="D39" s="125"/>
      <c r="E39" s="126">
        <f>1.9*1.3+2*2</f>
        <v>6.47</v>
      </c>
      <c r="F39" s="100"/>
      <c r="G39" s="101">
        <f t="shared" si="1"/>
        <v>0</v>
      </c>
      <c r="H39" s="116"/>
      <c r="I39" s="113"/>
      <c r="J39" s="111"/>
    </row>
    <row r="40" spans="1:10" ht="22.5" x14ac:dyDescent="0.2">
      <c r="A40" s="96">
        <v>7</v>
      </c>
      <c r="B40" s="97" t="s">
        <v>103</v>
      </c>
      <c r="C40" s="98" t="s">
        <v>104</v>
      </c>
      <c r="D40" s="99" t="s">
        <v>63</v>
      </c>
      <c r="E40" s="109">
        <f>SUM(E41:E44)</f>
        <v>96.2</v>
      </c>
      <c r="F40" s="100">
        <v>260</v>
      </c>
      <c r="G40" s="101">
        <f t="shared" si="1"/>
        <v>25012</v>
      </c>
      <c r="H40" s="116"/>
      <c r="I40" s="113"/>
      <c r="J40" s="111"/>
    </row>
    <row r="41" spans="1:10" x14ac:dyDescent="0.2">
      <c r="A41" s="96"/>
      <c r="B41" s="97"/>
      <c r="C41" s="124" t="s">
        <v>70</v>
      </c>
      <c r="D41" s="125"/>
      <c r="E41" s="126">
        <f>3.7*6.5</f>
        <v>24.05</v>
      </c>
      <c r="F41" s="100"/>
      <c r="G41" s="101">
        <f t="shared" si="1"/>
        <v>0</v>
      </c>
      <c r="H41" s="116"/>
      <c r="I41" s="113"/>
      <c r="J41" s="111"/>
    </row>
    <row r="42" spans="1:10" x14ac:dyDescent="0.2">
      <c r="A42" s="96"/>
      <c r="B42" s="97"/>
      <c r="C42" s="124" t="s">
        <v>71</v>
      </c>
      <c r="D42" s="125"/>
      <c r="E42" s="126">
        <f>3.7*6.5</f>
        <v>24.05</v>
      </c>
      <c r="F42" s="100"/>
      <c r="G42" s="101">
        <f t="shared" si="1"/>
        <v>0</v>
      </c>
      <c r="H42" s="116"/>
      <c r="I42" s="113"/>
      <c r="J42" s="111"/>
    </row>
    <row r="43" spans="1:10" x14ac:dyDescent="0.2">
      <c r="A43" s="96"/>
      <c r="B43" s="97"/>
      <c r="C43" s="124" t="s">
        <v>72</v>
      </c>
      <c r="D43" s="125"/>
      <c r="E43" s="126">
        <f>3.7*6.5</f>
        <v>24.05</v>
      </c>
      <c r="F43" s="100"/>
      <c r="G43" s="101">
        <f t="shared" si="1"/>
        <v>0</v>
      </c>
      <c r="H43" s="116"/>
      <c r="I43" s="113"/>
      <c r="J43" s="111"/>
    </row>
    <row r="44" spans="1:10" x14ac:dyDescent="0.2">
      <c r="A44" s="96"/>
      <c r="B44" s="97"/>
      <c r="C44" s="124" t="s">
        <v>73</v>
      </c>
      <c r="D44" s="125"/>
      <c r="E44" s="126">
        <f>3.7*6.5</f>
        <v>24.05</v>
      </c>
      <c r="F44" s="100"/>
      <c r="G44" s="101">
        <f t="shared" si="1"/>
        <v>0</v>
      </c>
      <c r="H44" s="116"/>
      <c r="I44" s="113"/>
      <c r="J44" s="111"/>
    </row>
    <row r="45" spans="1:10" x14ac:dyDescent="0.2">
      <c r="A45" s="96">
        <v>8</v>
      </c>
      <c r="B45" s="120" t="s">
        <v>105</v>
      </c>
      <c r="C45" s="98" t="s">
        <v>106</v>
      </c>
      <c r="D45" s="99" t="s">
        <v>63</v>
      </c>
      <c r="E45" s="109">
        <f>SUM(E46:E49)</f>
        <v>38.11</v>
      </c>
      <c r="F45" s="100">
        <v>15</v>
      </c>
      <c r="G45" s="101">
        <f t="shared" si="1"/>
        <v>571.65</v>
      </c>
      <c r="I45" s="113"/>
      <c r="J45" s="111"/>
    </row>
    <row r="46" spans="1:10" x14ac:dyDescent="0.2">
      <c r="A46" s="96"/>
      <c r="B46" s="120"/>
      <c r="C46" s="124" t="s">
        <v>107</v>
      </c>
      <c r="D46" s="125"/>
      <c r="E46" s="126">
        <f>1.25*2.25+1.9*2.35+1*2.25</f>
        <v>9.5274999999999999</v>
      </c>
      <c r="F46" s="100"/>
      <c r="G46" s="101">
        <f t="shared" si="1"/>
        <v>0</v>
      </c>
      <c r="I46" s="113"/>
      <c r="J46" s="111"/>
    </row>
    <row r="47" spans="1:10" x14ac:dyDescent="0.2">
      <c r="A47" s="96"/>
      <c r="B47" s="120"/>
      <c r="C47" s="124" t="s">
        <v>108</v>
      </c>
      <c r="D47" s="125"/>
      <c r="E47" s="126">
        <f>1.25*2.25+1.9*2.35+1*2.25</f>
        <v>9.5274999999999999</v>
      </c>
      <c r="F47" s="100"/>
      <c r="G47" s="101">
        <f t="shared" si="1"/>
        <v>0</v>
      </c>
      <c r="I47" s="113"/>
      <c r="J47" s="111"/>
    </row>
    <row r="48" spans="1:10" x14ac:dyDescent="0.2">
      <c r="A48" s="96"/>
      <c r="B48" s="120"/>
      <c r="C48" s="124" t="s">
        <v>109</v>
      </c>
      <c r="D48" s="125"/>
      <c r="E48" s="126">
        <f>1.25*2.25+1.9*2.35+1*2.25</f>
        <v>9.5274999999999999</v>
      </c>
      <c r="F48" s="100"/>
      <c r="G48" s="101">
        <f t="shared" si="1"/>
        <v>0</v>
      </c>
      <c r="I48" s="113"/>
      <c r="J48" s="111"/>
    </row>
    <row r="49" spans="1:23" x14ac:dyDescent="0.2">
      <c r="A49" s="96"/>
      <c r="B49" s="120"/>
      <c r="C49" s="124" t="s">
        <v>110</v>
      </c>
      <c r="D49" s="125"/>
      <c r="E49" s="126">
        <f>1.25*2.25+1.9*2.35+1*2.25</f>
        <v>9.5274999999999999</v>
      </c>
      <c r="F49" s="100"/>
      <c r="G49" s="101"/>
      <c r="I49" s="113"/>
      <c r="J49" s="111"/>
    </row>
    <row r="50" spans="1:23" x14ac:dyDescent="0.2">
      <c r="A50" s="102"/>
      <c r="B50" s="121" t="s">
        <v>81</v>
      </c>
      <c r="C50" s="104" t="str">
        <f>CONCATENATE(B24," ",C24)</f>
        <v>61 Upravy povrchů vnitřní</v>
      </c>
      <c r="D50" s="102"/>
      <c r="E50" s="118"/>
      <c r="F50" s="105">
        <v>0</v>
      </c>
      <c r="G50" s="106">
        <f>SUM(G24:G49)</f>
        <v>123040.84999999999</v>
      </c>
      <c r="I50" s="114"/>
      <c r="J50" s="111"/>
    </row>
    <row r="51" spans="1:23" x14ac:dyDescent="0.2">
      <c r="A51" s="90" t="s">
        <v>58</v>
      </c>
      <c r="B51" s="119" t="s">
        <v>111</v>
      </c>
      <c r="C51" s="92" t="s">
        <v>112</v>
      </c>
      <c r="D51" s="93"/>
      <c r="E51" s="117"/>
      <c r="F51" s="94">
        <v>0</v>
      </c>
      <c r="G51" s="95"/>
      <c r="H51" s="115"/>
      <c r="I51" s="112"/>
      <c r="J51" s="111"/>
    </row>
    <row r="52" spans="1:23" ht="54.95" customHeight="1" x14ac:dyDescent="0.2">
      <c r="A52" s="96">
        <v>9</v>
      </c>
      <c r="B52" s="120" t="s">
        <v>113</v>
      </c>
      <c r="C52" s="107" t="s">
        <v>114</v>
      </c>
      <c r="D52" s="99" t="s">
        <v>76</v>
      </c>
      <c r="E52" s="109">
        <f>SUM(E53:E56)</f>
        <v>4</v>
      </c>
      <c r="F52" s="109">
        <v>35400</v>
      </c>
      <c r="G52" s="101">
        <f t="shared" ref="G52:G64" si="2">E52*F52</f>
        <v>141600</v>
      </c>
      <c r="H52" s="115"/>
      <c r="I52" s="113"/>
      <c r="J52" s="111"/>
      <c r="W52" s="74">
        <v>0</v>
      </c>
    </row>
    <row r="53" spans="1:23" ht="12.75" customHeight="1" x14ac:dyDescent="0.2">
      <c r="A53" s="96"/>
      <c r="B53" s="120"/>
      <c r="C53" s="124" t="s">
        <v>115</v>
      </c>
      <c r="D53" s="125"/>
      <c r="E53" s="126">
        <v>1</v>
      </c>
      <c r="F53" s="109"/>
      <c r="G53" s="101">
        <f t="shared" si="2"/>
        <v>0</v>
      </c>
      <c r="H53" s="115"/>
      <c r="I53" s="113"/>
      <c r="J53" s="111"/>
    </row>
    <row r="54" spans="1:23" ht="12.75" customHeight="1" x14ac:dyDescent="0.2">
      <c r="A54" s="96"/>
      <c r="B54" s="120"/>
      <c r="C54" s="124" t="s">
        <v>116</v>
      </c>
      <c r="D54" s="125"/>
      <c r="E54" s="126">
        <v>1</v>
      </c>
      <c r="F54" s="109"/>
      <c r="G54" s="101">
        <f t="shared" si="2"/>
        <v>0</v>
      </c>
      <c r="H54" s="115"/>
      <c r="I54" s="113"/>
      <c r="J54" s="111"/>
    </row>
    <row r="55" spans="1:23" ht="12.75" customHeight="1" x14ac:dyDescent="0.2">
      <c r="A55" s="96"/>
      <c r="B55" s="120"/>
      <c r="C55" s="124" t="s">
        <v>117</v>
      </c>
      <c r="D55" s="125"/>
      <c r="E55" s="126">
        <v>1</v>
      </c>
      <c r="F55" s="109"/>
      <c r="G55" s="101">
        <f t="shared" si="2"/>
        <v>0</v>
      </c>
      <c r="H55" s="115"/>
      <c r="I55" s="113"/>
      <c r="J55" s="111"/>
    </row>
    <row r="56" spans="1:23" ht="12.75" customHeight="1" x14ac:dyDescent="0.2">
      <c r="A56" s="96"/>
      <c r="B56" s="120"/>
      <c r="C56" s="124" t="s">
        <v>118</v>
      </c>
      <c r="D56" s="125"/>
      <c r="E56" s="126">
        <v>1</v>
      </c>
      <c r="F56" s="109"/>
      <c r="G56" s="101">
        <f t="shared" si="2"/>
        <v>0</v>
      </c>
      <c r="H56" s="115"/>
      <c r="I56" s="113"/>
      <c r="J56" s="111"/>
    </row>
    <row r="57" spans="1:23" ht="44.25" customHeight="1" x14ac:dyDescent="0.2">
      <c r="A57" s="96">
        <v>10</v>
      </c>
      <c r="B57" s="120" t="s">
        <v>119</v>
      </c>
      <c r="C57" s="107" t="s">
        <v>120</v>
      </c>
      <c r="D57" s="99" t="s">
        <v>76</v>
      </c>
      <c r="E57" s="109">
        <f>SUM(E58:E60)</f>
        <v>3</v>
      </c>
      <c r="F57" s="109">
        <v>23600</v>
      </c>
      <c r="G57" s="101">
        <f t="shared" si="2"/>
        <v>70800</v>
      </c>
      <c r="H57" s="137"/>
      <c r="I57" s="113"/>
      <c r="J57" s="111"/>
    </row>
    <row r="58" spans="1:23" ht="12.75" customHeight="1" x14ac:dyDescent="0.2">
      <c r="A58" s="96"/>
      <c r="B58" s="120"/>
      <c r="C58" s="124" t="s">
        <v>115</v>
      </c>
      <c r="D58" s="125"/>
      <c r="E58" s="126">
        <v>1</v>
      </c>
      <c r="F58" s="109"/>
      <c r="G58" s="101">
        <f t="shared" si="2"/>
        <v>0</v>
      </c>
      <c r="H58" s="146"/>
      <c r="I58" s="113"/>
      <c r="J58" s="111"/>
    </row>
    <row r="59" spans="1:23" ht="12.75" customHeight="1" x14ac:dyDescent="0.2">
      <c r="A59" s="96"/>
      <c r="B59" s="120"/>
      <c r="C59" s="124" t="s">
        <v>116</v>
      </c>
      <c r="D59" s="125"/>
      <c r="E59" s="126">
        <v>1</v>
      </c>
      <c r="F59" s="109"/>
      <c r="G59" s="101">
        <f t="shared" si="2"/>
        <v>0</v>
      </c>
      <c r="H59" s="157"/>
      <c r="I59" s="113"/>
      <c r="J59" s="111"/>
    </row>
    <row r="60" spans="1:23" ht="12.75" customHeight="1" x14ac:dyDescent="0.2">
      <c r="A60" s="96"/>
      <c r="B60" s="120"/>
      <c r="C60" s="124" t="s">
        <v>117</v>
      </c>
      <c r="D60" s="125"/>
      <c r="E60" s="126">
        <v>1</v>
      </c>
      <c r="F60" s="109"/>
      <c r="G60" s="101">
        <f t="shared" si="2"/>
        <v>0</v>
      </c>
      <c r="H60" s="147"/>
      <c r="I60" s="113"/>
      <c r="J60" s="111"/>
      <c r="K60" s="116"/>
      <c r="L60" s="116"/>
      <c r="M60" s="116"/>
    </row>
    <row r="61" spans="1:23" ht="47.25" customHeight="1" x14ac:dyDescent="0.2">
      <c r="A61" s="96">
        <v>11</v>
      </c>
      <c r="B61" s="120" t="s">
        <v>121</v>
      </c>
      <c r="C61" s="107" t="s">
        <v>122</v>
      </c>
      <c r="D61" s="99" t="s">
        <v>76</v>
      </c>
      <c r="E61" s="109">
        <f>E62</f>
        <v>1</v>
      </c>
      <c r="F61" s="109">
        <v>30400</v>
      </c>
      <c r="G61" s="101">
        <f t="shared" si="2"/>
        <v>30400</v>
      </c>
      <c r="H61" s="147"/>
      <c r="I61" s="113"/>
      <c r="J61" s="111"/>
    </row>
    <row r="62" spans="1:23" ht="12.75" customHeight="1" x14ac:dyDescent="0.2">
      <c r="A62" s="96"/>
      <c r="B62" s="120"/>
      <c r="C62" s="124" t="s">
        <v>118</v>
      </c>
      <c r="D62" s="125"/>
      <c r="E62" s="126">
        <v>1</v>
      </c>
      <c r="F62" s="109"/>
      <c r="G62" s="101">
        <f t="shared" si="2"/>
        <v>0</v>
      </c>
      <c r="H62" s="115"/>
      <c r="I62" s="113"/>
      <c r="J62" s="111"/>
    </row>
    <row r="63" spans="1:23" ht="22.5" x14ac:dyDescent="0.2">
      <c r="A63" s="96">
        <v>12</v>
      </c>
      <c r="B63" s="120" t="s">
        <v>123</v>
      </c>
      <c r="C63" s="107" t="s">
        <v>124</v>
      </c>
      <c r="D63" s="99" t="s">
        <v>63</v>
      </c>
      <c r="E63" s="109">
        <f>SUM(E64:E67)</f>
        <v>22.880000000000003</v>
      </c>
      <c r="F63" s="109">
        <v>686</v>
      </c>
      <c r="G63" s="101">
        <f t="shared" si="2"/>
        <v>15695.680000000002</v>
      </c>
      <c r="H63" s="137"/>
      <c r="I63" s="113"/>
      <c r="J63" s="111"/>
    </row>
    <row r="64" spans="1:23" x14ac:dyDescent="0.2">
      <c r="A64" s="96"/>
      <c r="B64" s="120"/>
      <c r="C64" s="124" t="s">
        <v>125</v>
      </c>
      <c r="D64" s="125"/>
      <c r="E64" s="126">
        <f>2.2*2.6</f>
        <v>5.7200000000000006</v>
      </c>
      <c r="F64" s="109"/>
      <c r="G64" s="101">
        <f t="shared" si="2"/>
        <v>0</v>
      </c>
      <c r="H64" s="115"/>
      <c r="I64" s="113"/>
      <c r="J64" s="111"/>
    </row>
    <row r="65" spans="1:23" x14ac:dyDescent="0.2">
      <c r="A65" s="96"/>
      <c r="B65" s="120"/>
      <c r="C65" s="124" t="s">
        <v>126</v>
      </c>
      <c r="D65" s="125"/>
      <c r="E65" s="126">
        <f>2.2*2.6</f>
        <v>5.7200000000000006</v>
      </c>
      <c r="F65" s="109"/>
      <c r="G65" s="101"/>
      <c r="H65" s="115"/>
      <c r="I65" s="113"/>
      <c r="J65" s="111"/>
    </row>
    <row r="66" spans="1:23" x14ac:dyDescent="0.2">
      <c r="A66" s="96"/>
      <c r="B66" s="120"/>
      <c r="C66" s="124" t="s">
        <v>127</v>
      </c>
      <c r="D66" s="125"/>
      <c r="E66" s="126">
        <f>2.2*2.6</f>
        <v>5.7200000000000006</v>
      </c>
      <c r="F66" s="109"/>
      <c r="G66" s="101"/>
      <c r="H66" s="115"/>
      <c r="I66" s="113"/>
      <c r="J66" s="111"/>
    </row>
    <row r="67" spans="1:23" x14ac:dyDescent="0.2">
      <c r="A67" s="96"/>
      <c r="B67" s="120"/>
      <c r="C67" s="124" t="s">
        <v>128</v>
      </c>
      <c r="D67" s="125"/>
      <c r="E67" s="126">
        <f>2.2*2.6</f>
        <v>5.7200000000000006</v>
      </c>
      <c r="F67" s="109"/>
      <c r="G67" s="101"/>
      <c r="H67" s="115"/>
      <c r="I67" s="113"/>
      <c r="J67" s="111"/>
    </row>
    <row r="68" spans="1:23" x14ac:dyDescent="0.2">
      <c r="A68" s="102"/>
      <c r="B68" s="121" t="s">
        <v>81</v>
      </c>
      <c r="C68" s="104" t="str">
        <f>CONCATENATE(B51," ",C51)</f>
        <v>64 Výplně otvorů</v>
      </c>
      <c r="D68" s="102"/>
      <c r="E68" s="118"/>
      <c r="F68" s="105">
        <v>0</v>
      </c>
      <c r="G68" s="106">
        <f>SUM(G51:G67)</f>
        <v>258495.68</v>
      </c>
      <c r="I68" s="114"/>
      <c r="J68" s="111"/>
    </row>
    <row r="69" spans="1:23" x14ac:dyDescent="0.2">
      <c r="A69" s="90" t="s">
        <v>58</v>
      </c>
      <c r="B69" s="119" t="s">
        <v>129</v>
      </c>
      <c r="C69" s="92" t="s">
        <v>130</v>
      </c>
      <c r="D69" s="93"/>
      <c r="E69" s="117"/>
      <c r="F69" s="94">
        <v>0</v>
      </c>
      <c r="G69" s="95"/>
      <c r="I69" s="112"/>
      <c r="J69" s="111"/>
    </row>
    <row r="70" spans="1:23" ht="12.75" customHeight="1" x14ac:dyDescent="0.2">
      <c r="A70" s="96">
        <v>13</v>
      </c>
      <c r="B70" s="120" t="s">
        <v>131</v>
      </c>
      <c r="C70" s="98" t="s">
        <v>132</v>
      </c>
      <c r="D70" s="99" t="s">
        <v>63</v>
      </c>
      <c r="E70" s="109">
        <f>SUM(E71:E74)</f>
        <v>96.2</v>
      </c>
      <c r="F70" s="100">
        <v>400</v>
      </c>
      <c r="G70" s="101">
        <f t="shared" ref="G70:G77" si="3">E70*F70</f>
        <v>38480</v>
      </c>
      <c r="I70" s="113"/>
      <c r="J70" s="111"/>
      <c r="W70" s="74">
        <v>0</v>
      </c>
    </row>
    <row r="71" spans="1:23" ht="12.75" customHeight="1" x14ac:dyDescent="0.2">
      <c r="A71" s="96"/>
      <c r="B71" s="120"/>
      <c r="C71" s="124" t="s">
        <v>70</v>
      </c>
      <c r="D71" s="125"/>
      <c r="E71" s="126">
        <f>3.7*6.5</f>
        <v>24.05</v>
      </c>
      <c r="F71" s="100"/>
      <c r="G71" s="101">
        <f t="shared" si="3"/>
        <v>0</v>
      </c>
      <c r="I71" s="113"/>
      <c r="J71" s="111"/>
    </row>
    <row r="72" spans="1:23" ht="12.75" customHeight="1" x14ac:dyDescent="0.2">
      <c r="A72" s="96"/>
      <c r="B72" s="120"/>
      <c r="C72" s="124" t="s">
        <v>71</v>
      </c>
      <c r="D72" s="125"/>
      <c r="E72" s="126">
        <f>3.7*6.5</f>
        <v>24.05</v>
      </c>
      <c r="F72" s="100"/>
      <c r="G72" s="101">
        <f t="shared" si="3"/>
        <v>0</v>
      </c>
      <c r="I72" s="113"/>
      <c r="J72" s="111"/>
    </row>
    <row r="73" spans="1:23" ht="12.75" customHeight="1" x14ac:dyDescent="0.2">
      <c r="A73" s="96"/>
      <c r="B73" s="120"/>
      <c r="C73" s="124" t="s">
        <v>72</v>
      </c>
      <c r="D73" s="125"/>
      <c r="E73" s="126">
        <f>3.7*6.5</f>
        <v>24.05</v>
      </c>
      <c r="F73" s="100"/>
      <c r="G73" s="101">
        <f t="shared" si="3"/>
        <v>0</v>
      </c>
      <c r="I73" s="113"/>
      <c r="J73" s="111"/>
    </row>
    <row r="74" spans="1:23" ht="12.75" customHeight="1" x14ac:dyDescent="0.2">
      <c r="A74" s="96"/>
      <c r="B74" s="120"/>
      <c r="C74" s="124" t="s">
        <v>73</v>
      </c>
      <c r="D74" s="125"/>
      <c r="E74" s="126">
        <f>3.7*6.5</f>
        <v>24.05</v>
      </c>
      <c r="F74" s="100"/>
      <c r="G74" s="101">
        <f t="shared" si="3"/>
        <v>0</v>
      </c>
      <c r="I74" s="113"/>
      <c r="J74" s="111"/>
    </row>
    <row r="75" spans="1:23" ht="60" customHeight="1" x14ac:dyDescent="0.2">
      <c r="A75" s="96">
        <v>14</v>
      </c>
      <c r="B75" s="120" t="s">
        <v>133</v>
      </c>
      <c r="C75" s="98" t="s">
        <v>134</v>
      </c>
      <c r="D75" s="99" t="s">
        <v>135</v>
      </c>
      <c r="E75" s="109">
        <v>1</v>
      </c>
      <c r="F75" s="100">
        <v>35400</v>
      </c>
      <c r="G75" s="101">
        <f t="shared" si="3"/>
        <v>35400</v>
      </c>
      <c r="I75" s="113"/>
      <c r="J75" s="111"/>
    </row>
    <row r="76" spans="1:23" ht="24.95" customHeight="1" x14ac:dyDescent="0.2">
      <c r="A76" s="96">
        <v>15</v>
      </c>
      <c r="B76" s="120" t="s">
        <v>136</v>
      </c>
      <c r="C76" s="98" t="s">
        <v>137</v>
      </c>
      <c r="D76" s="99" t="s">
        <v>135</v>
      </c>
      <c r="E76" s="109">
        <v>1</v>
      </c>
      <c r="F76" s="100">
        <v>226647.98</v>
      </c>
      <c r="G76" s="101">
        <f t="shared" si="3"/>
        <v>226647.98</v>
      </c>
      <c r="I76" s="113"/>
      <c r="J76" s="111"/>
    </row>
    <row r="77" spans="1:23" x14ac:dyDescent="0.2">
      <c r="A77" s="96">
        <v>16</v>
      </c>
      <c r="B77" s="120" t="s">
        <v>138</v>
      </c>
      <c r="C77" s="98" t="s">
        <v>139</v>
      </c>
      <c r="D77" s="99" t="s">
        <v>63</v>
      </c>
      <c r="E77" s="109">
        <f>E70</f>
        <v>96.2</v>
      </c>
      <c r="F77" s="100">
        <v>74</v>
      </c>
      <c r="G77" s="101">
        <f t="shared" si="3"/>
        <v>7118.8</v>
      </c>
      <c r="I77" s="113"/>
      <c r="J77" s="111"/>
      <c r="W77" s="74">
        <v>0</v>
      </c>
    </row>
    <row r="78" spans="1:23" x14ac:dyDescent="0.2">
      <c r="A78" s="102"/>
      <c r="B78" s="121" t="s">
        <v>81</v>
      </c>
      <c r="C78" s="104" t="str">
        <f>CONCATENATE(B69," ",C69)</f>
        <v>9 Ostatní konstrukce a práce</v>
      </c>
      <c r="D78" s="102"/>
      <c r="E78" s="118"/>
      <c r="F78" s="105">
        <v>0</v>
      </c>
      <c r="G78" s="106">
        <f>SUM(G69:G77)</f>
        <v>307646.77999999997</v>
      </c>
      <c r="I78" s="114"/>
      <c r="J78" s="111"/>
    </row>
    <row r="79" spans="1:23" x14ac:dyDescent="0.2">
      <c r="A79" s="90" t="s">
        <v>58</v>
      </c>
      <c r="B79" s="119" t="s">
        <v>140</v>
      </c>
      <c r="C79" s="92" t="s">
        <v>141</v>
      </c>
      <c r="D79" s="93"/>
      <c r="E79" s="117"/>
      <c r="F79" s="94">
        <v>0</v>
      </c>
      <c r="G79" s="95"/>
      <c r="I79" s="112"/>
      <c r="J79" s="111"/>
    </row>
    <row r="80" spans="1:23" x14ac:dyDescent="0.2">
      <c r="A80" s="96">
        <v>17</v>
      </c>
      <c r="B80" s="120" t="s">
        <v>142</v>
      </c>
      <c r="C80" s="98" t="s">
        <v>143</v>
      </c>
      <c r="D80" s="99" t="s">
        <v>63</v>
      </c>
      <c r="E80" s="109">
        <v>250</v>
      </c>
      <c r="F80" s="100">
        <v>50</v>
      </c>
      <c r="G80" s="101">
        <f>E80*F80</f>
        <v>12500</v>
      </c>
      <c r="I80" s="113"/>
      <c r="J80" s="111"/>
      <c r="W80" s="74">
        <v>0</v>
      </c>
    </row>
    <row r="81" spans="1:23" x14ac:dyDescent="0.2">
      <c r="A81" s="102"/>
      <c r="B81" s="121" t="s">
        <v>81</v>
      </c>
      <c r="C81" s="104" t="str">
        <f>CONCATENATE(B79," ",C79)</f>
        <v>94 Lešení a stavební výtahy</v>
      </c>
      <c r="D81" s="102"/>
      <c r="E81" s="118"/>
      <c r="F81" s="105">
        <v>0</v>
      </c>
      <c r="G81" s="106">
        <f>SUM(G79:G80)</f>
        <v>12500</v>
      </c>
      <c r="I81" s="114"/>
      <c r="J81" s="111"/>
    </row>
    <row r="82" spans="1:23" x14ac:dyDescent="0.2">
      <c r="A82" s="90" t="s">
        <v>58</v>
      </c>
      <c r="B82" s="119" t="s">
        <v>144</v>
      </c>
      <c r="C82" s="92" t="s">
        <v>145</v>
      </c>
      <c r="D82" s="93"/>
      <c r="E82" s="117"/>
      <c r="F82" s="94">
        <v>0</v>
      </c>
      <c r="G82" s="95"/>
      <c r="I82" s="112"/>
      <c r="J82" s="111"/>
    </row>
    <row r="83" spans="1:23" x14ac:dyDescent="0.2">
      <c r="A83" s="96">
        <v>18</v>
      </c>
      <c r="B83" s="120" t="s">
        <v>146</v>
      </c>
      <c r="C83" s="98" t="s">
        <v>147</v>
      </c>
      <c r="D83" s="99" t="s">
        <v>63</v>
      </c>
      <c r="E83" s="109">
        <f>SUM(E84:E87)</f>
        <v>25.88</v>
      </c>
      <c r="F83" s="100">
        <v>75</v>
      </c>
      <c r="G83" s="101">
        <f t="shared" ref="G83:G97" si="4">E83*F83</f>
        <v>1941</v>
      </c>
      <c r="H83" s="136"/>
      <c r="I83" s="113"/>
      <c r="J83" s="111"/>
    </row>
    <row r="84" spans="1:23" x14ac:dyDescent="0.2">
      <c r="A84" s="96"/>
      <c r="B84" s="120"/>
      <c r="C84" s="124" t="s">
        <v>99</v>
      </c>
      <c r="D84" s="125"/>
      <c r="E84" s="126">
        <f>1.9*1.3+2*2</f>
        <v>6.47</v>
      </c>
      <c r="F84" s="100"/>
      <c r="G84" s="101">
        <f t="shared" si="4"/>
        <v>0</v>
      </c>
      <c r="I84" s="113"/>
      <c r="J84" s="111"/>
    </row>
    <row r="85" spans="1:23" x14ac:dyDescent="0.2">
      <c r="A85" s="96"/>
      <c r="B85" s="120"/>
      <c r="C85" s="124" t="s">
        <v>100</v>
      </c>
      <c r="D85" s="125"/>
      <c r="E85" s="126">
        <f>1.9*1.3+2*2</f>
        <v>6.47</v>
      </c>
      <c r="F85" s="100"/>
      <c r="G85" s="101">
        <f t="shared" si="4"/>
        <v>0</v>
      </c>
      <c r="I85" s="113"/>
      <c r="J85" s="111"/>
    </row>
    <row r="86" spans="1:23" x14ac:dyDescent="0.2">
      <c r="A86" s="96"/>
      <c r="B86" s="120"/>
      <c r="C86" s="124" t="s">
        <v>101</v>
      </c>
      <c r="D86" s="125"/>
      <c r="E86" s="126">
        <f>1.9*1.3+2*2</f>
        <v>6.47</v>
      </c>
      <c r="F86" s="100"/>
      <c r="G86" s="101">
        <f t="shared" si="4"/>
        <v>0</v>
      </c>
      <c r="I86" s="113"/>
      <c r="J86" s="111"/>
    </row>
    <row r="87" spans="1:23" x14ac:dyDescent="0.2">
      <c r="A87" s="96"/>
      <c r="B87" s="120"/>
      <c r="C87" s="124" t="s">
        <v>102</v>
      </c>
      <c r="D87" s="125"/>
      <c r="E87" s="126">
        <f>1.9*1.3+2*2</f>
        <v>6.47</v>
      </c>
      <c r="F87" s="100"/>
      <c r="G87" s="101">
        <f t="shared" si="4"/>
        <v>0</v>
      </c>
      <c r="I87" s="113"/>
      <c r="J87" s="111"/>
    </row>
    <row r="88" spans="1:23" x14ac:dyDescent="0.2">
      <c r="A88" s="96">
        <v>19</v>
      </c>
      <c r="B88" s="120" t="s">
        <v>148</v>
      </c>
      <c r="C88" s="98" t="s">
        <v>149</v>
      </c>
      <c r="D88" s="99" t="s">
        <v>63</v>
      </c>
      <c r="E88" s="109">
        <f>SUM(E89:E92)</f>
        <v>25.88</v>
      </c>
      <c r="F88" s="100">
        <v>84</v>
      </c>
      <c r="G88" s="101">
        <f t="shared" si="4"/>
        <v>2173.92</v>
      </c>
      <c r="H88" s="136"/>
      <c r="I88" s="113"/>
      <c r="J88" s="111"/>
    </row>
    <row r="89" spans="1:23" x14ac:dyDescent="0.2">
      <c r="A89" s="96"/>
      <c r="B89" s="120"/>
      <c r="C89" s="124" t="s">
        <v>99</v>
      </c>
      <c r="D89" s="125"/>
      <c r="E89" s="126">
        <f>1.9*1.3+2*2</f>
        <v>6.47</v>
      </c>
      <c r="F89" s="100"/>
      <c r="G89" s="101">
        <f t="shared" si="4"/>
        <v>0</v>
      </c>
      <c r="I89" s="113"/>
      <c r="J89" s="111"/>
    </row>
    <row r="90" spans="1:23" x14ac:dyDescent="0.2">
      <c r="A90" s="96"/>
      <c r="B90" s="120"/>
      <c r="C90" s="124" t="s">
        <v>100</v>
      </c>
      <c r="D90" s="125"/>
      <c r="E90" s="126">
        <f>1.9*1.3+2*2</f>
        <v>6.47</v>
      </c>
      <c r="F90" s="100"/>
      <c r="G90" s="101">
        <f t="shared" si="4"/>
        <v>0</v>
      </c>
      <c r="I90" s="113"/>
      <c r="J90" s="111"/>
    </row>
    <row r="91" spans="1:23" x14ac:dyDescent="0.2">
      <c r="A91" s="96"/>
      <c r="B91" s="120"/>
      <c r="C91" s="124" t="s">
        <v>101</v>
      </c>
      <c r="D91" s="125"/>
      <c r="E91" s="126">
        <f>1.9*1.3+2*2</f>
        <v>6.47</v>
      </c>
      <c r="F91" s="100"/>
      <c r="G91" s="101">
        <f t="shared" si="4"/>
        <v>0</v>
      </c>
      <c r="I91" s="113"/>
      <c r="J91" s="111"/>
    </row>
    <row r="92" spans="1:23" x14ac:dyDescent="0.2">
      <c r="A92" s="96"/>
      <c r="B92" s="120"/>
      <c r="C92" s="124" t="s">
        <v>102</v>
      </c>
      <c r="D92" s="125"/>
      <c r="E92" s="126">
        <f>1.9*1.3+2*2</f>
        <v>6.47</v>
      </c>
      <c r="F92" s="100"/>
      <c r="G92" s="101">
        <f t="shared" si="4"/>
        <v>0</v>
      </c>
      <c r="I92" s="113"/>
      <c r="J92" s="111"/>
    </row>
    <row r="93" spans="1:23" x14ac:dyDescent="0.2">
      <c r="A93" s="96">
        <v>20</v>
      </c>
      <c r="B93" s="120" t="s">
        <v>150</v>
      </c>
      <c r="C93" s="107" t="s">
        <v>151</v>
      </c>
      <c r="D93" s="99" t="s">
        <v>152</v>
      </c>
      <c r="E93" s="109">
        <v>11.6</v>
      </c>
      <c r="F93" s="100">
        <v>383</v>
      </c>
      <c r="G93" s="101">
        <f t="shared" si="4"/>
        <v>4442.8</v>
      </c>
      <c r="H93" s="116"/>
      <c r="I93" s="113"/>
      <c r="J93" s="111"/>
      <c r="W93" s="74">
        <v>0</v>
      </c>
    </row>
    <row r="94" spans="1:23" x14ac:dyDescent="0.2">
      <c r="A94" s="96">
        <v>21</v>
      </c>
      <c r="B94" s="120" t="s">
        <v>153</v>
      </c>
      <c r="C94" s="107" t="s">
        <v>154</v>
      </c>
      <c r="D94" s="99" t="s">
        <v>152</v>
      </c>
      <c r="E94" s="109">
        <f>11.6*4</f>
        <v>46.4</v>
      </c>
      <c r="F94" s="100">
        <v>42</v>
      </c>
      <c r="G94" s="101">
        <f t="shared" si="4"/>
        <v>1948.8</v>
      </c>
      <c r="H94" s="116"/>
      <c r="I94" s="113"/>
      <c r="J94" s="111"/>
      <c r="W94" s="74">
        <v>0</v>
      </c>
    </row>
    <row r="95" spans="1:23" x14ac:dyDescent="0.2">
      <c r="A95" s="96">
        <v>22</v>
      </c>
      <c r="B95" s="120" t="s">
        <v>155</v>
      </c>
      <c r="C95" s="107" t="s">
        <v>156</v>
      </c>
      <c r="D95" s="99" t="s">
        <v>152</v>
      </c>
      <c r="E95" s="109">
        <v>11.6</v>
      </c>
      <c r="F95" s="100">
        <v>365</v>
      </c>
      <c r="G95" s="101">
        <f t="shared" si="4"/>
        <v>4234</v>
      </c>
      <c r="H95" s="116"/>
      <c r="I95" s="113"/>
      <c r="J95" s="111"/>
      <c r="W95" s="74">
        <v>0</v>
      </c>
    </row>
    <row r="96" spans="1:23" x14ac:dyDescent="0.2">
      <c r="A96" s="96">
        <v>23</v>
      </c>
      <c r="B96" s="120" t="s">
        <v>157</v>
      </c>
      <c r="C96" s="107" t="s">
        <v>158</v>
      </c>
      <c r="D96" s="99" t="s">
        <v>152</v>
      </c>
      <c r="E96" s="109">
        <f>11.6*19</f>
        <v>220.4</v>
      </c>
      <c r="F96" s="100">
        <v>14</v>
      </c>
      <c r="G96" s="101">
        <f t="shared" si="4"/>
        <v>3085.6</v>
      </c>
      <c r="H96" s="116"/>
      <c r="I96" s="113"/>
      <c r="J96" s="111"/>
      <c r="W96" s="74">
        <v>0</v>
      </c>
    </row>
    <row r="97" spans="1:23" x14ac:dyDescent="0.2">
      <c r="A97" s="96">
        <v>24</v>
      </c>
      <c r="B97" s="120" t="s">
        <v>159</v>
      </c>
      <c r="C97" s="107" t="s">
        <v>160</v>
      </c>
      <c r="D97" s="99" t="s">
        <v>152</v>
      </c>
      <c r="E97" s="109">
        <v>11.6</v>
      </c>
      <c r="F97" s="100">
        <v>350</v>
      </c>
      <c r="G97" s="101">
        <f t="shared" si="4"/>
        <v>4060</v>
      </c>
      <c r="H97" s="116"/>
      <c r="I97" s="113"/>
      <c r="J97" s="111"/>
      <c r="W97" s="74">
        <v>0</v>
      </c>
    </row>
    <row r="98" spans="1:23" x14ac:dyDescent="0.2">
      <c r="A98" s="102"/>
      <c r="B98" s="121" t="s">
        <v>81</v>
      </c>
      <c r="C98" s="104" t="str">
        <f>CONCATENATE(B82," ",C82)</f>
        <v>96 Bourání konstrukcí</v>
      </c>
      <c r="D98" s="102"/>
      <c r="E98" s="118"/>
      <c r="F98" s="105">
        <v>0</v>
      </c>
      <c r="G98" s="106">
        <f>SUM(G82:G97)</f>
        <v>21886.12</v>
      </c>
      <c r="H98" s="116"/>
      <c r="I98" s="114"/>
      <c r="J98" s="111"/>
    </row>
    <row r="99" spans="1:23" x14ac:dyDescent="0.2">
      <c r="A99" s="90" t="s">
        <v>58</v>
      </c>
      <c r="B99" s="119" t="s">
        <v>161</v>
      </c>
      <c r="C99" s="92" t="s">
        <v>162</v>
      </c>
      <c r="D99" s="93"/>
      <c r="E99" s="117"/>
      <c r="F99" s="94">
        <v>0</v>
      </c>
      <c r="G99" s="95"/>
      <c r="I99" s="112"/>
      <c r="J99" s="111"/>
    </row>
    <row r="100" spans="1:23" x14ac:dyDescent="0.2">
      <c r="A100" s="96">
        <v>25</v>
      </c>
      <c r="B100" s="120" t="s">
        <v>163</v>
      </c>
      <c r="C100" s="107" t="s">
        <v>164</v>
      </c>
      <c r="D100" s="99" t="s">
        <v>152</v>
      </c>
      <c r="E100" s="109">
        <v>16.8</v>
      </c>
      <c r="F100" s="100">
        <v>880</v>
      </c>
      <c r="G100" s="101">
        <f>E100*F100</f>
        <v>14784</v>
      </c>
      <c r="H100" s="116"/>
      <c r="I100" s="113"/>
      <c r="J100" s="111"/>
      <c r="W100" s="74">
        <v>0</v>
      </c>
    </row>
    <row r="101" spans="1:23" x14ac:dyDescent="0.2">
      <c r="A101" s="102"/>
      <c r="B101" s="121" t="s">
        <v>81</v>
      </c>
      <c r="C101" s="104" t="str">
        <f>CONCATENATE(B99," ",C99)</f>
        <v>99 Staveništní přesun hmot</v>
      </c>
      <c r="D101" s="102"/>
      <c r="E101" s="118"/>
      <c r="F101" s="105">
        <v>0</v>
      </c>
      <c r="G101" s="106">
        <f>SUM(G99:G100)</f>
        <v>14784</v>
      </c>
      <c r="I101" s="114"/>
      <c r="J101" s="111"/>
      <c r="K101" s="111"/>
      <c r="L101" s="111"/>
    </row>
    <row r="102" spans="1:23" x14ac:dyDescent="0.2">
      <c r="A102" s="90" t="s">
        <v>58</v>
      </c>
      <c r="B102" s="119" t="s">
        <v>165</v>
      </c>
      <c r="C102" s="92" t="s">
        <v>166</v>
      </c>
      <c r="D102" s="93"/>
      <c r="E102" s="117"/>
      <c r="F102" s="94">
        <v>0</v>
      </c>
      <c r="G102" s="95"/>
      <c r="I102" s="112"/>
      <c r="J102" s="111"/>
      <c r="K102" s="111"/>
      <c r="L102" s="111"/>
    </row>
    <row r="103" spans="1:23" x14ac:dyDescent="0.2">
      <c r="A103" s="96">
        <v>26</v>
      </c>
      <c r="B103" s="120" t="s">
        <v>167</v>
      </c>
      <c r="C103" s="107" t="s">
        <v>168</v>
      </c>
      <c r="D103" s="99" t="s">
        <v>76</v>
      </c>
      <c r="E103" s="109">
        <v>4</v>
      </c>
      <c r="F103" s="109">
        <v>446</v>
      </c>
      <c r="G103" s="101">
        <f>E103*F103</f>
        <v>1784</v>
      </c>
      <c r="H103" s="136"/>
      <c r="I103" s="113"/>
      <c r="J103" s="111"/>
      <c r="K103" s="111"/>
      <c r="L103" s="111"/>
    </row>
    <row r="104" spans="1:23" x14ac:dyDescent="0.2">
      <c r="A104" s="96">
        <v>27</v>
      </c>
      <c r="B104" s="120" t="s">
        <v>169</v>
      </c>
      <c r="C104" s="107" t="s">
        <v>170</v>
      </c>
      <c r="D104" s="99" t="s">
        <v>76</v>
      </c>
      <c r="E104" s="109">
        <v>4</v>
      </c>
      <c r="F104" s="109">
        <v>191</v>
      </c>
      <c r="G104" s="101">
        <f t="shared" ref="G104:G106" si="5">E104*F104</f>
        <v>764</v>
      </c>
      <c r="H104" s="136"/>
      <c r="I104" s="113"/>
      <c r="J104" s="111"/>
      <c r="K104" s="111"/>
      <c r="L104" s="111"/>
    </row>
    <row r="105" spans="1:23" ht="22.5" x14ac:dyDescent="0.2">
      <c r="A105" s="96">
        <v>28</v>
      </c>
      <c r="B105" s="120" t="s">
        <v>171</v>
      </c>
      <c r="C105" s="107" t="s">
        <v>172</v>
      </c>
      <c r="D105" s="99" t="s">
        <v>135</v>
      </c>
      <c r="E105" s="109">
        <v>4</v>
      </c>
      <c r="F105" s="109">
        <v>1275</v>
      </c>
      <c r="G105" s="101">
        <f t="shared" si="5"/>
        <v>5100</v>
      </c>
      <c r="H105" s="136"/>
      <c r="I105" s="113"/>
      <c r="J105" s="111"/>
      <c r="K105" s="111"/>
      <c r="L105" s="111"/>
    </row>
    <row r="106" spans="1:23" x14ac:dyDescent="0.2">
      <c r="A106" s="96">
        <v>29</v>
      </c>
      <c r="B106" s="120" t="s">
        <v>173</v>
      </c>
      <c r="C106" s="98" t="s">
        <v>174</v>
      </c>
      <c r="D106" s="99" t="s">
        <v>175</v>
      </c>
      <c r="E106" s="109">
        <v>6</v>
      </c>
      <c r="F106" s="109">
        <v>500</v>
      </c>
      <c r="G106" s="101">
        <f t="shared" si="5"/>
        <v>3000</v>
      </c>
      <c r="H106" s="137"/>
      <c r="I106" s="113"/>
      <c r="J106" s="111"/>
      <c r="W106" s="74">
        <v>0</v>
      </c>
    </row>
    <row r="107" spans="1:23" x14ac:dyDescent="0.2">
      <c r="A107" s="102"/>
      <c r="B107" s="121" t="s">
        <v>81</v>
      </c>
      <c r="C107" s="104" t="str">
        <f>CONCATENATE(B102," ",C102)</f>
        <v>720 Zdravotechnická instalace</v>
      </c>
      <c r="D107" s="102"/>
      <c r="E107" s="118"/>
      <c r="F107" s="105">
        <v>0</v>
      </c>
      <c r="G107" s="106">
        <f>SUM(G102:G106)</f>
        <v>10648</v>
      </c>
      <c r="I107" s="114"/>
      <c r="J107" s="111"/>
    </row>
    <row r="108" spans="1:23" x14ac:dyDescent="0.2">
      <c r="A108" s="90" t="s">
        <v>58</v>
      </c>
      <c r="B108" s="119" t="s">
        <v>176</v>
      </c>
      <c r="C108" s="92" t="s">
        <v>177</v>
      </c>
      <c r="D108" s="93"/>
      <c r="E108" s="117"/>
      <c r="F108" s="94">
        <v>0</v>
      </c>
      <c r="G108" s="95"/>
      <c r="I108" s="112"/>
      <c r="J108" s="111"/>
    </row>
    <row r="109" spans="1:23" x14ac:dyDescent="0.2">
      <c r="A109" s="96">
        <v>30</v>
      </c>
      <c r="B109" s="120" t="s">
        <v>178</v>
      </c>
      <c r="C109" s="107" t="s">
        <v>179</v>
      </c>
      <c r="D109" s="99" t="s">
        <v>76</v>
      </c>
      <c r="E109" s="109">
        <v>4</v>
      </c>
      <c r="F109" s="109">
        <v>488</v>
      </c>
      <c r="G109" s="101">
        <f>E109*F109</f>
        <v>1952</v>
      </c>
      <c r="H109" s="136"/>
      <c r="I109" s="113"/>
      <c r="J109" s="111"/>
    </row>
    <row r="110" spans="1:23" ht="22.5" x14ac:dyDescent="0.2">
      <c r="A110" s="96">
        <v>31</v>
      </c>
      <c r="B110" s="120" t="s">
        <v>180</v>
      </c>
      <c r="C110" s="107" t="s">
        <v>181</v>
      </c>
      <c r="D110" s="99" t="s">
        <v>135</v>
      </c>
      <c r="E110" s="109">
        <v>4</v>
      </c>
      <c r="F110" s="109">
        <v>825</v>
      </c>
      <c r="G110" s="101">
        <f t="shared" ref="G110:G117" si="6">E110*F110</f>
        <v>3300</v>
      </c>
      <c r="H110" s="136"/>
      <c r="I110" s="113"/>
      <c r="J110" s="111"/>
    </row>
    <row r="111" spans="1:23" ht="56.25" x14ac:dyDescent="0.2">
      <c r="A111" s="96">
        <v>32</v>
      </c>
      <c r="B111" s="120" t="s">
        <v>182</v>
      </c>
      <c r="C111" s="107" t="s">
        <v>183</v>
      </c>
      <c r="D111" s="99" t="s">
        <v>76</v>
      </c>
      <c r="E111" s="109">
        <v>1</v>
      </c>
      <c r="F111" s="109">
        <v>6240</v>
      </c>
      <c r="G111" s="101">
        <f t="shared" si="6"/>
        <v>6240</v>
      </c>
      <c r="H111" s="136"/>
      <c r="I111" s="113"/>
      <c r="J111" s="111"/>
    </row>
    <row r="112" spans="1:23" ht="56.25" x14ac:dyDescent="0.2">
      <c r="A112" s="96">
        <v>33</v>
      </c>
      <c r="B112" s="120" t="s">
        <v>184</v>
      </c>
      <c r="C112" s="107" t="s">
        <v>185</v>
      </c>
      <c r="D112" s="99" t="s">
        <v>76</v>
      </c>
      <c r="E112" s="109">
        <v>1</v>
      </c>
      <c r="F112" s="109">
        <v>6240</v>
      </c>
      <c r="G112" s="101">
        <f t="shared" si="6"/>
        <v>6240</v>
      </c>
      <c r="H112" s="136"/>
      <c r="I112" s="113"/>
      <c r="J112" s="111"/>
    </row>
    <row r="113" spans="1:23" ht="56.25" x14ac:dyDescent="0.2">
      <c r="A113" s="96">
        <v>34</v>
      </c>
      <c r="B113" s="120" t="s">
        <v>186</v>
      </c>
      <c r="C113" s="107" t="s">
        <v>187</v>
      </c>
      <c r="D113" s="99" t="s">
        <v>76</v>
      </c>
      <c r="E113" s="109">
        <v>1</v>
      </c>
      <c r="F113" s="109">
        <v>6240</v>
      </c>
      <c r="G113" s="101">
        <f t="shared" si="6"/>
        <v>6240</v>
      </c>
      <c r="H113" s="136"/>
      <c r="I113" s="113"/>
      <c r="J113" s="111"/>
    </row>
    <row r="114" spans="1:23" ht="56.25" x14ac:dyDescent="0.2">
      <c r="A114" s="96">
        <v>35</v>
      </c>
      <c r="B114" s="120" t="s">
        <v>188</v>
      </c>
      <c r="C114" s="107" t="s">
        <v>189</v>
      </c>
      <c r="D114" s="99" t="s">
        <v>76</v>
      </c>
      <c r="E114" s="109">
        <v>1</v>
      </c>
      <c r="F114" s="109">
        <v>6240</v>
      </c>
      <c r="G114" s="101">
        <f t="shared" si="6"/>
        <v>6240</v>
      </c>
      <c r="H114" s="136"/>
      <c r="I114" s="113"/>
      <c r="J114" s="111"/>
    </row>
    <row r="115" spans="1:23" ht="22.5" x14ac:dyDescent="0.2">
      <c r="A115" s="96">
        <v>36</v>
      </c>
      <c r="B115" s="120" t="s">
        <v>190</v>
      </c>
      <c r="C115" s="107" t="s">
        <v>191</v>
      </c>
      <c r="D115" s="99" t="s">
        <v>135</v>
      </c>
      <c r="E115" s="109">
        <v>4</v>
      </c>
      <c r="F115" s="109">
        <v>4735</v>
      </c>
      <c r="G115" s="101">
        <f t="shared" si="6"/>
        <v>18940</v>
      </c>
      <c r="H115" s="136"/>
      <c r="I115" s="113"/>
      <c r="J115" s="111"/>
    </row>
    <row r="116" spans="1:23" x14ac:dyDescent="0.2">
      <c r="A116" s="96">
        <v>37</v>
      </c>
      <c r="B116" s="120" t="s">
        <v>192</v>
      </c>
      <c r="C116" s="107" t="s">
        <v>193</v>
      </c>
      <c r="D116" s="99" t="s">
        <v>135</v>
      </c>
      <c r="E116" s="109">
        <v>1</v>
      </c>
      <c r="F116" s="109">
        <v>2050</v>
      </c>
      <c r="G116" s="101">
        <f t="shared" si="6"/>
        <v>2050</v>
      </c>
      <c r="H116" s="136"/>
      <c r="I116" s="113"/>
      <c r="J116" s="111"/>
    </row>
    <row r="117" spans="1:23" x14ac:dyDescent="0.2">
      <c r="A117" s="96">
        <v>38</v>
      </c>
      <c r="B117" s="120" t="s">
        <v>194</v>
      </c>
      <c r="C117" s="98" t="s">
        <v>195</v>
      </c>
      <c r="D117" s="99" t="s">
        <v>175</v>
      </c>
      <c r="E117" s="109">
        <v>8</v>
      </c>
      <c r="F117" s="109">
        <v>500</v>
      </c>
      <c r="G117" s="101">
        <f t="shared" si="6"/>
        <v>4000</v>
      </c>
      <c r="H117" s="138"/>
      <c r="I117" s="113"/>
      <c r="J117" s="111"/>
      <c r="W117" s="74">
        <v>0</v>
      </c>
    </row>
    <row r="118" spans="1:23" x14ac:dyDescent="0.2">
      <c r="A118" s="102"/>
      <c r="B118" s="121" t="s">
        <v>81</v>
      </c>
      <c r="C118" s="104" t="str">
        <f>CONCATENATE(B108," ",C108)</f>
        <v>730 Ústřední vytápění</v>
      </c>
      <c r="D118" s="102"/>
      <c r="E118" s="118"/>
      <c r="F118" s="105">
        <v>0</v>
      </c>
      <c r="G118" s="106">
        <f>SUM(G108:G117)</f>
        <v>55202</v>
      </c>
      <c r="H118" s="136"/>
      <c r="I118" s="114"/>
      <c r="J118" s="111"/>
    </row>
    <row r="119" spans="1:23" x14ac:dyDescent="0.2">
      <c r="A119" s="90" t="s">
        <v>58</v>
      </c>
      <c r="B119" s="119" t="s">
        <v>196</v>
      </c>
      <c r="C119" s="92" t="s">
        <v>197</v>
      </c>
      <c r="D119" s="93"/>
      <c r="E119" s="117"/>
      <c r="F119" s="94">
        <v>0</v>
      </c>
      <c r="G119" s="95"/>
      <c r="H119" s="136"/>
      <c r="I119" s="114"/>
      <c r="J119" s="111"/>
    </row>
    <row r="120" spans="1:23" x14ac:dyDescent="0.2">
      <c r="A120" s="96">
        <v>39</v>
      </c>
      <c r="B120" s="120" t="s">
        <v>198</v>
      </c>
      <c r="C120" s="158" t="s">
        <v>199</v>
      </c>
      <c r="D120" s="99" t="s">
        <v>135</v>
      </c>
      <c r="E120" s="109">
        <v>1</v>
      </c>
      <c r="F120" s="109">
        <v>135600</v>
      </c>
      <c r="G120" s="101">
        <f t="shared" ref="G120" si="7">E120*F120</f>
        <v>135600</v>
      </c>
      <c r="I120" s="114"/>
      <c r="J120" s="111"/>
    </row>
    <row r="121" spans="1:23" x14ac:dyDescent="0.2">
      <c r="A121" s="102"/>
      <c r="B121" s="121" t="s">
        <v>81</v>
      </c>
      <c r="C121" s="104" t="str">
        <f>CONCATENATE(B119," ",C119)</f>
        <v>766 Nábytek</v>
      </c>
      <c r="D121" s="102"/>
      <c r="E121" s="118"/>
      <c r="F121" s="105">
        <v>0</v>
      </c>
      <c r="G121" s="106">
        <f>SUM(G119:G120)</f>
        <v>135600</v>
      </c>
      <c r="I121" s="114"/>
      <c r="J121" s="111"/>
    </row>
    <row r="122" spans="1:23" x14ac:dyDescent="0.2">
      <c r="A122" s="90" t="s">
        <v>58</v>
      </c>
      <c r="B122" s="119" t="s">
        <v>196</v>
      </c>
      <c r="C122" s="92" t="s">
        <v>200</v>
      </c>
      <c r="D122" s="93"/>
      <c r="E122" s="117"/>
      <c r="F122" s="94">
        <v>0</v>
      </c>
      <c r="G122" s="95"/>
      <c r="I122" s="112"/>
      <c r="J122" s="111"/>
    </row>
    <row r="123" spans="1:23" ht="33.75" x14ac:dyDescent="0.2">
      <c r="A123" s="96">
        <v>40</v>
      </c>
      <c r="B123" s="120" t="s">
        <v>198</v>
      </c>
      <c r="C123" s="107" t="s">
        <v>201</v>
      </c>
      <c r="D123" s="99" t="s">
        <v>63</v>
      </c>
      <c r="E123" s="109">
        <f>SUM(E124:E127)</f>
        <v>96.2</v>
      </c>
      <c r="F123" s="100">
        <v>800</v>
      </c>
      <c r="G123" s="101">
        <f t="shared" ref="G123" si="8">E123*F123</f>
        <v>76960</v>
      </c>
      <c r="H123" s="116"/>
      <c r="I123" s="113"/>
      <c r="J123" s="111"/>
      <c r="W123" s="74">
        <v>0</v>
      </c>
    </row>
    <row r="124" spans="1:23" x14ac:dyDescent="0.2">
      <c r="A124" s="96"/>
      <c r="B124" s="120"/>
      <c r="C124" s="124" t="s">
        <v>70</v>
      </c>
      <c r="D124" s="125"/>
      <c r="E124" s="126">
        <f>3.7*6.5</f>
        <v>24.05</v>
      </c>
      <c r="F124" s="100"/>
      <c r="G124" s="101"/>
      <c r="H124" s="116"/>
      <c r="I124" s="113"/>
      <c r="J124" s="111"/>
    </row>
    <row r="125" spans="1:23" x14ac:dyDescent="0.2">
      <c r="A125" s="96"/>
      <c r="B125" s="120"/>
      <c r="C125" s="124" t="s">
        <v>71</v>
      </c>
      <c r="D125" s="125"/>
      <c r="E125" s="126">
        <f>3.7*6.5</f>
        <v>24.05</v>
      </c>
      <c r="F125" s="100"/>
      <c r="G125" s="101"/>
      <c r="H125" s="116"/>
      <c r="I125" s="113"/>
      <c r="J125" s="111"/>
    </row>
    <row r="126" spans="1:23" x14ac:dyDescent="0.2">
      <c r="A126" s="96"/>
      <c r="B126" s="120"/>
      <c r="C126" s="124" t="s">
        <v>72</v>
      </c>
      <c r="D126" s="125"/>
      <c r="E126" s="126">
        <f>3.7*6.5</f>
        <v>24.05</v>
      </c>
      <c r="F126" s="100"/>
      <c r="G126" s="101"/>
      <c r="H126" s="116"/>
      <c r="I126" s="113"/>
      <c r="J126" s="111"/>
    </row>
    <row r="127" spans="1:23" x14ac:dyDescent="0.2">
      <c r="A127" s="96"/>
      <c r="B127" s="120"/>
      <c r="C127" s="124" t="s">
        <v>73</v>
      </c>
      <c r="D127" s="125"/>
      <c r="E127" s="126">
        <f>3.7*6.5</f>
        <v>24.05</v>
      </c>
      <c r="F127" s="100"/>
      <c r="G127" s="101"/>
      <c r="H127" s="116"/>
      <c r="I127" s="113"/>
      <c r="J127" s="111"/>
    </row>
    <row r="128" spans="1:23" ht="22.5" x14ac:dyDescent="0.2">
      <c r="A128" s="96">
        <v>41</v>
      </c>
      <c r="B128" s="120" t="s">
        <v>202</v>
      </c>
      <c r="C128" s="107" t="s">
        <v>203</v>
      </c>
      <c r="D128" s="99" t="s">
        <v>86</v>
      </c>
      <c r="E128" s="109">
        <f>SUM(E129:E132)</f>
        <v>81.599999999999994</v>
      </c>
      <c r="F128" s="100">
        <v>99</v>
      </c>
      <c r="G128" s="101">
        <f t="shared" ref="G128" si="9">E128*F128</f>
        <v>8078.4</v>
      </c>
      <c r="H128" s="138"/>
      <c r="I128" s="113"/>
      <c r="J128" s="111"/>
    </row>
    <row r="129" spans="1:10" x14ac:dyDescent="0.2">
      <c r="A129" s="96"/>
      <c r="B129" s="120"/>
      <c r="C129" s="124" t="s">
        <v>204</v>
      </c>
      <c r="D129" s="125"/>
      <c r="E129" s="126">
        <f>(3.7+6.5)*2</f>
        <v>20.399999999999999</v>
      </c>
      <c r="F129" s="100"/>
      <c r="G129" s="101"/>
      <c r="H129" s="116"/>
      <c r="I129" s="113"/>
      <c r="J129" s="111"/>
    </row>
    <row r="130" spans="1:10" x14ac:dyDescent="0.2">
      <c r="A130" s="96"/>
      <c r="B130" s="120"/>
      <c r="C130" s="124" t="s">
        <v>205</v>
      </c>
      <c r="D130" s="125"/>
      <c r="E130" s="126">
        <f>(3.7+6.5)*2</f>
        <v>20.399999999999999</v>
      </c>
      <c r="F130" s="100"/>
      <c r="G130" s="101"/>
      <c r="H130" s="116"/>
      <c r="I130" s="113"/>
      <c r="J130" s="111"/>
    </row>
    <row r="131" spans="1:10" x14ac:dyDescent="0.2">
      <c r="A131" s="96"/>
      <c r="B131" s="120"/>
      <c r="C131" s="124" t="s">
        <v>206</v>
      </c>
      <c r="D131" s="125"/>
      <c r="E131" s="126">
        <f>(3.7+6.5)*2</f>
        <v>20.399999999999999</v>
      </c>
      <c r="F131" s="100"/>
      <c r="G131" s="101"/>
      <c r="H131" s="116"/>
      <c r="I131" s="113"/>
      <c r="J131" s="111"/>
    </row>
    <row r="132" spans="1:10" x14ac:dyDescent="0.2">
      <c r="A132" s="96"/>
      <c r="B132" s="120"/>
      <c r="C132" s="124" t="s">
        <v>207</v>
      </c>
      <c r="D132" s="125"/>
      <c r="E132" s="126">
        <f>(3.7+6.5)*2</f>
        <v>20.399999999999999</v>
      </c>
      <c r="F132" s="100"/>
      <c r="G132" s="101"/>
      <c r="H132" s="116"/>
      <c r="I132" s="113"/>
      <c r="J132" s="111"/>
    </row>
    <row r="133" spans="1:10" x14ac:dyDescent="0.2">
      <c r="A133" s="102"/>
      <c r="B133" s="121" t="s">
        <v>81</v>
      </c>
      <c r="C133" s="104" t="str">
        <f>CONCATENATE(B122," ",C122)</f>
        <v>766 Konstrukce truhlářské</v>
      </c>
      <c r="D133" s="102"/>
      <c r="E133" s="118"/>
      <c r="F133" s="105">
        <v>0</v>
      </c>
      <c r="G133" s="106">
        <f>SUM(G122:G132)</f>
        <v>85038.399999999994</v>
      </c>
      <c r="I133" s="114"/>
      <c r="J133" s="111"/>
    </row>
    <row r="134" spans="1:10" x14ac:dyDescent="0.2">
      <c r="A134" s="90" t="s">
        <v>58</v>
      </c>
      <c r="B134" s="119" t="s">
        <v>208</v>
      </c>
      <c r="C134" s="92" t="s">
        <v>209</v>
      </c>
      <c r="D134" s="93"/>
      <c r="E134" s="117"/>
      <c r="F134" s="94">
        <v>0</v>
      </c>
      <c r="G134" s="95"/>
      <c r="I134" s="112"/>
      <c r="J134" s="111"/>
    </row>
    <row r="135" spans="1:10" x14ac:dyDescent="0.2">
      <c r="A135" s="96">
        <v>42</v>
      </c>
      <c r="B135" s="120" t="s">
        <v>210</v>
      </c>
      <c r="C135" s="98" t="s">
        <v>211</v>
      </c>
      <c r="D135" s="99" t="s">
        <v>63</v>
      </c>
      <c r="E135" s="109">
        <f>E136</f>
        <v>24.05</v>
      </c>
      <c r="F135" s="100">
        <v>54</v>
      </c>
      <c r="G135" s="101">
        <f>E135*F135</f>
        <v>1298.7</v>
      </c>
      <c r="H135" s="116"/>
      <c r="I135" s="112"/>
      <c r="J135" s="111"/>
    </row>
    <row r="136" spans="1:10" x14ac:dyDescent="0.2">
      <c r="A136" s="96"/>
      <c r="B136" s="120"/>
      <c r="C136" s="124" t="s">
        <v>71</v>
      </c>
      <c r="D136" s="125"/>
      <c r="E136" s="126">
        <f>3.7*6.5</f>
        <v>24.05</v>
      </c>
      <c r="F136" s="100"/>
      <c r="G136" s="101"/>
      <c r="H136" s="116"/>
      <c r="I136" s="112"/>
      <c r="J136" s="111"/>
    </row>
    <row r="137" spans="1:10" x14ac:dyDescent="0.2">
      <c r="A137" s="102"/>
      <c r="B137" s="121" t="s">
        <v>81</v>
      </c>
      <c r="C137" s="104" t="str">
        <f>CONCATENATE(B134," ",C134)</f>
        <v>776 Podlahy povlakové</v>
      </c>
      <c r="D137" s="102"/>
      <c r="E137" s="118"/>
      <c r="F137" s="105">
        <v>0</v>
      </c>
      <c r="G137" s="106">
        <f>SUM(G134:G136)</f>
        <v>1298.7</v>
      </c>
      <c r="I137" s="114"/>
      <c r="J137" s="111"/>
    </row>
    <row r="138" spans="1:10" x14ac:dyDescent="0.2">
      <c r="A138" s="90" t="s">
        <v>58</v>
      </c>
      <c r="B138" s="119" t="s">
        <v>212</v>
      </c>
      <c r="C138" s="92" t="s">
        <v>213</v>
      </c>
      <c r="D138" s="93"/>
      <c r="E138" s="117"/>
      <c r="F138" s="94">
        <v>0</v>
      </c>
      <c r="G138" s="95"/>
      <c r="I138" s="114"/>
      <c r="J138" s="111"/>
    </row>
    <row r="139" spans="1:10" ht="33.75" x14ac:dyDescent="0.2">
      <c r="A139" s="96">
        <v>43</v>
      </c>
      <c r="B139" s="120" t="s">
        <v>214</v>
      </c>
      <c r="C139" s="98" t="s">
        <v>215</v>
      </c>
      <c r="D139" s="99" t="s">
        <v>135</v>
      </c>
      <c r="E139" s="109">
        <v>4</v>
      </c>
      <c r="F139" s="100">
        <v>375</v>
      </c>
      <c r="G139" s="101">
        <f>E139*F139</f>
        <v>1500</v>
      </c>
      <c r="H139" s="136"/>
      <c r="I139" s="114"/>
      <c r="J139" s="111"/>
    </row>
    <row r="140" spans="1:10" x14ac:dyDescent="0.2">
      <c r="A140" s="96"/>
      <c r="B140" s="120"/>
      <c r="C140" s="124" t="s">
        <v>216</v>
      </c>
      <c r="D140" s="125"/>
      <c r="E140" s="126">
        <v>4</v>
      </c>
      <c r="F140" s="100"/>
      <c r="G140" s="101"/>
      <c r="I140" s="114"/>
      <c r="J140" s="111"/>
    </row>
    <row r="141" spans="1:10" ht="22.5" x14ac:dyDescent="0.2">
      <c r="A141" s="96">
        <v>44</v>
      </c>
      <c r="B141" s="120" t="s">
        <v>217</v>
      </c>
      <c r="C141" s="98" t="s">
        <v>218</v>
      </c>
      <c r="D141" s="99" t="s">
        <v>63</v>
      </c>
      <c r="E141" s="109">
        <f>SUM(E142:E145)</f>
        <v>9.879999999999999</v>
      </c>
      <c r="F141" s="100">
        <v>2850</v>
      </c>
      <c r="G141" s="101">
        <f>E141*F141</f>
        <v>28157.999999999996</v>
      </c>
      <c r="I141" s="114"/>
      <c r="J141" s="111"/>
    </row>
    <row r="142" spans="1:10" x14ac:dyDescent="0.2">
      <c r="A142" s="96"/>
      <c r="B142" s="120"/>
      <c r="C142" s="124" t="s">
        <v>219</v>
      </c>
      <c r="D142" s="125"/>
      <c r="E142" s="126">
        <f>1.9*1.3</f>
        <v>2.4699999999999998</v>
      </c>
      <c r="F142" s="100"/>
      <c r="G142" s="101"/>
      <c r="I142" s="114"/>
      <c r="J142" s="111"/>
    </row>
    <row r="143" spans="1:10" x14ac:dyDescent="0.2">
      <c r="A143" s="96"/>
      <c r="B143" s="120"/>
      <c r="C143" s="124" t="s">
        <v>220</v>
      </c>
      <c r="D143" s="125"/>
      <c r="E143" s="126">
        <f>1.9*1.3</f>
        <v>2.4699999999999998</v>
      </c>
      <c r="F143" s="100"/>
      <c r="G143" s="101"/>
      <c r="I143" s="114"/>
      <c r="J143" s="111"/>
    </row>
    <row r="144" spans="1:10" x14ac:dyDescent="0.2">
      <c r="A144" s="96"/>
      <c r="B144" s="120"/>
      <c r="C144" s="124" t="s">
        <v>221</v>
      </c>
      <c r="D144" s="125"/>
      <c r="E144" s="126">
        <f>1.9*1.3</f>
        <v>2.4699999999999998</v>
      </c>
      <c r="F144" s="100"/>
      <c r="G144" s="101"/>
      <c r="I144" s="114"/>
      <c r="J144" s="111"/>
    </row>
    <row r="145" spans="1:10" x14ac:dyDescent="0.2">
      <c r="A145" s="96"/>
      <c r="B145" s="120"/>
      <c r="C145" s="124" t="s">
        <v>222</v>
      </c>
      <c r="D145" s="125"/>
      <c r="E145" s="126">
        <f>1.9*1.3</f>
        <v>2.4699999999999998</v>
      </c>
      <c r="F145" s="100"/>
      <c r="G145" s="101"/>
      <c r="I145" s="114"/>
      <c r="J145" s="111"/>
    </row>
    <row r="146" spans="1:10" x14ac:dyDescent="0.2">
      <c r="A146" s="102"/>
      <c r="B146" s="121" t="s">
        <v>81</v>
      </c>
      <c r="C146" s="104" t="str">
        <f>CONCATENATE(B138," ",C138)</f>
        <v>781 Obklady keramické (+ koordinace u kuch. linek)</v>
      </c>
      <c r="D146" s="102"/>
      <c r="E146" s="118"/>
      <c r="F146" s="105">
        <v>0</v>
      </c>
      <c r="G146" s="106">
        <f>SUM(G138:G145)</f>
        <v>29657.999999999996</v>
      </c>
      <c r="I146" s="114"/>
      <c r="J146" s="111"/>
    </row>
    <row r="147" spans="1:10" x14ac:dyDescent="0.2">
      <c r="A147" s="90" t="s">
        <v>58</v>
      </c>
      <c r="B147" s="119" t="s">
        <v>223</v>
      </c>
      <c r="C147" s="92" t="s">
        <v>224</v>
      </c>
      <c r="D147" s="93"/>
      <c r="E147" s="117"/>
      <c r="F147" s="94">
        <v>0</v>
      </c>
      <c r="G147" s="95"/>
      <c r="I147" s="112"/>
      <c r="J147" s="111"/>
    </row>
    <row r="148" spans="1:10" ht="22.5" x14ac:dyDescent="0.2">
      <c r="A148" s="96">
        <v>45</v>
      </c>
      <c r="B148" s="120" t="s">
        <v>225</v>
      </c>
      <c r="C148" s="98" t="s">
        <v>226</v>
      </c>
      <c r="D148" s="99" t="s">
        <v>63</v>
      </c>
      <c r="E148" s="109">
        <f>SUM(E149:E152)</f>
        <v>96.2</v>
      </c>
      <c r="F148" s="100">
        <v>650</v>
      </c>
      <c r="G148" s="101">
        <f>E148*F148</f>
        <v>62530</v>
      </c>
      <c r="I148" s="113"/>
      <c r="J148" s="111"/>
    </row>
    <row r="149" spans="1:10" x14ac:dyDescent="0.2">
      <c r="A149" s="96"/>
      <c r="B149" s="120"/>
      <c r="C149" s="124" t="s">
        <v>70</v>
      </c>
      <c r="D149" s="125"/>
      <c r="E149" s="126">
        <f>3.7*6.5</f>
        <v>24.05</v>
      </c>
      <c r="F149" s="100"/>
      <c r="G149" s="101"/>
      <c r="I149" s="113"/>
      <c r="J149" s="111"/>
    </row>
    <row r="150" spans="1:10" x14ac:dyDescent="0.2">
      <c r="A150" s="96"/>
      <c r="B150" s="120"/>
      <c r="C150" s="124" t="s">
        <v>71</v>
      </c>
      <c r="D150" s="125"/>
      <c r="E150" s="126">
        <f>3.7*6.5</f>
        <v>24.05</v>
      </c>
      <c r="F150" s="100"/>
      <c r="G150" s="101"/>
      <c r="I150" s="113"/>
      <c r="J150" s="111"/>
    </row>
    <row r="151" spans="1:10" x14ac:dyDescent="0.2">
      <c r="A151" s="96"/>
      <c r="B151" s="120"/>
      <c r="C151" s="124" t="s">
        <v>72</v>
      </c>
      <c r="D151" s="125"/>
      <c r="E151" s="126">
        <f>3.7*6.5</f>
        <v>24.05</v>
      </c>
      <c r="F151" s="100"/>
      <c r="G151" s="101"/>
      <c r="I151" s="113"/>
      <c r="J151" s="111"/>
    </row>
    <row r="152" spans="1:10" x14ac:dyDescent="0.2">
      <c r="A152" s="96"/>
      <c r="B152" s="120"/>
      <c r="C152" s="124" t="s">
        <v>73</v>
      </c>
      <c r="D152" s="125"/>
      <c r="E152" s="126">
        <f>3.7*6.5</f>
        <v>24.05</v>
      </c>
      <c r="F152" s="100"/>
      <c r="G152" s="101"/>
      <c r="I152" s="113"/>
      <c r="J152" s="111"/>
    </row>
    <row r="153" spans="1:10" x14ac:dyDescent="0.2">
      <c r="A153" s="96">
        <v>46</v>
      </c>
      <c r="B153" s="120" t="s">
        <v>227</v>
      </c>
      <c r="C153" s="98" t="s">
        <v>228</v>
      </c>
      <c r="D153" s="99" t="s">
        <v>229</v>
      </c>
      <c r="E153" s="109">
        <f>SUM(E154:E157)</f>
        <v>4</v>
      </c>
      <c r="F153" s="100">
        <v>800</v>
      </c>
      <c r="G153" s="101">
        <f>E153*F153</f>
        <v>3200</v>
      </c>
      <c r="H153" s="136"/>
      <c r="I153" s="113"/>
      <c r="J153" s="111"/>
    </row>
    <row r="154" spans="1:10" x14ac:dyDescent="0.2">
      <c r="A154" s="96"/>
      <c r="B154" s="120"/>
      <c r="C154" s="124" t="s">
        <v>115</v>
      </c>
      <c r="D154" s="125"/>
      <c r="E154" s="126">
        <v>1</v>
      </c>
      <c r="F154" s="100"/>
      <c r="G154" s="101"/>
      <c r="I154" s="113"/>
      <c r="J154" s="111"/>
    </row>
    <row r="155" spans="1:10" x14ac:dyDescent="0.2">
      <c r="A155" s="96"/>
      <c r="B155" s="120"/>
      <c r="C155" s="124" t="s">
        <v>116</v>
      </c>
      <c r="D155" s="125"/>
      <c r="E155" s="126">
        <v>1</v>
      </c>
      <c r="F155" s="100"/>
      <c r="G155" s="101"/>
      <c r="I155" s="113"/>
      <c r="J155" s="111"/>
    </row>
    <row r="156" spans="1:10" x14ac:dyDescent="0.2">
      <c r="A156" s="96"/>
      <c r="B156" s="120"/>
      <c r="C156" s="124" t="s">
        <v>117</v>
      </c>
      <c r="D156" s="125"/>
      <c r="E156" s="126">
        <v>1</v>
      </c>
      <c r="F156" s="100"/>
      <c r="G156" s="101"/>
      <c r="I156" s="113"/>
      <c r="J156" s="111"/>
    </row>
    <row r="157" spans="1:10" x14ac:dyDescent="0.2">
      <c r="A157" s="96"/>
      <c r="B157" s="120"/>
      <c r="C157" s="124" t="s">
        <v>118</v>
      </c>
      <c r="D157" s="125"/>
      <c r="E157" s="126">
        <v>1</v>
      </c>
      <c r="F157" s="100"/>
      <c r="G157" s="101"/>
      <c r="I157" s="113"/>
      <c r="J157" s="111"/>
    </row>
    <row r="158" spans="1:10" x14ac:dyDescent="0.2">
      <c r="A158" s="102"/>
      <c r="B158" s="121" t="s">
        <v>81</v>
      </c>
      <c r="C158" s="104" t="str">
        <f>CONCATENATE(B147," ",C147)</f>
        <v>783 Nátěry</v>
      </c>
      <c r="D158" s="102"/>
      <c r="E158" s="118"/>
      <c r="F158" s="105">
        <v>0</v>
      </c>
      <c r="G158" s="106">
        <f>SUM(G147:G157)</f>
        <v>65730</v>
      </c>
      <c r="I158" s="114"/>
      <c r="J158" s="111"/>
    </row>
    <row r="159" spans="1:10" x14ac:dyDescent="0.2">
      <c r="A159" s="90" t="s">
        <v>58</v>
      </c>
      <c r="B159" s="119" t="s">
        <v>230</v>
      </c>
      <c r="C159" s="92" t="s">
        <v>231</v>
      </c>
      <c r="D159" s="93"/>
      <c r="E159" s="117"/>
      <c r="F159" s="94">
        <v>0</v>
      </c>
      <c r="G159" s="95"/>
      <c r="I159" s="112"/>
      <c r="J159" s="111"/>
    </row>
    <row r="160" spans="1:10" x14ac:dyDescent="0.2">
      <c r="A160" s="96">
        <v>47</v>
      </c>
      <c r="B160" s="97" t="s">
        <v>232</v>
      </c>
      <c r="C160" s="98" t="s">
        <v>233</v>
      </c>
      <c r="D160" s="99" t="s">
        <v>63</v>
      </c>
      <c r="E160" s="109">
        <f>SUM(E161:E164)</f>
        <v>463.19999999999993</v>
      </c>
      <c r="F160" s="100">
        <v>40</v>
      </c>
      <c r="G160" s="101">
        <f>E160*F160</f>
        <v>18527.999999999996</v>
      </c>
      <c r="H160" s="116"/>
      <c r="I160" s="112"/>
      <c r="J160" s="111"/>
    </row>
    <row r="161" spans="1:23" ht="22.5" x14ac:dyDescent="0.2">
      <c r="A161" s="96"/>
      <c r="B161" s="97"/>
      <c r="C161" s="124" t="s">
        <v>234</v>
      </c>
      <c r="D161" s="125"/>
      <c r="E161" s="126">
        <f>3.7*6.5+(6.5+6.5+3.7+3.7)*4+(1.2*2.25*2+1.2*1.25+1.9*0.5+2.3*0.5*2)</f>
        <v>115.79999999999998</v>
      </c>
      <c r="F161" s="100"/>
      <c r="G161" s="101"/>
      <c r="H161" s="116"/>
      <c r="I161" s="112"/>
      <c r="J161" s="111"/>
    </row>
    <row r="162" spans="1:23" ht="22.5" x14ac:dyDescent="0.2">
      <c r="A162" s="96"/>
      <c r="B162" s="97"/>
      <c r="C162" s="124" t="s">
        <v>235</v>
      </c>
      <c r="D162" s="125"/>
      <c r="E162" s="126">
        <f>3.7*6.5+(6.5+6.5+3.7+3.7)*4+(1.2*2.25*2+1.2*1.25+1.9*0.5+2.3*0.5*2)</f>
        <v>115.79999999999998</v>
      </c>
      <c r="F162" s="100"/>
      <c r="G162" s="101"/>
      <c r="H162" s="116"/>
      <c r="I162" s="112"/>
      <c r="J162" s="111"/>
    </row>
    <row r="163" spans="1:23" ht="22.5" x14ac:dyDescent="0.2">
      <c r="A163" s="96"/>
      <c r="B163" s="97"/>
      <c r="C163" s="124" t="s">
        <v>236</v>
      </c>
      <c r="D163" s="125"/>
      <c r="E163" s="126">
        <f>3.7*6.5+(6.5+6.5+3.7+3.7)*4+(1.2*2.25*2+1.2*1.25+1.9*0.5+2.3*0.5*2)</f>
        <v>115.79999999999998</v>
      </c>
      <c r="F163" s="100"/>
      <c r="G163" s="101"/>
      <c r="H163" s="116"/>
      <c r="I163" s="112"/>
      <c r="J163" s="111"/>
    </row>
    <row r="164" spans="1:23" ht="22.5" x14ac:dyDescent="0.2">
      <c r="A164" s="96"/>
      <c r="B164" s="97"/>
      <c r="C164" s="124" t="s">
        <v>237</v>
      </c>
      <c r="D164" s="125"/>
      <c r="E164" s="126">
        <f>3.7*6.5+(6.5+6.5+3.7+3.7)*4+(1.2*2.25*2+1.2*1.25+1.9*0.5+2.3*0.5*2)</f>
        <v>115.79999999999998</v>
      </c>
      <c r="F164" s="100"/>
      <c r="G164" s="101"/>
      <c r="H164" s="116"/>
      <c r="I164" s="112"/>
      <c r="J164" s="111"/>
    </row>
    <row r="165" spans="1:23" x14ac:dyDescent="0.2">
      <c r="A165" s="96">
        <v>48</v>
      </c>
      <c r="B165" s="120" t="s">
        <v>238</v>
      </c>
      <c r="C165" s="98" t="s">
        <v>239</v>
      </c>
      <c r="D165" s="99" t="s">
        <v>63</v>
      </c>
      <c r="E165" s="109">
        <f>SUM(E166:E169)</f>
        <v>463.19999999999993</v>
      </c>
      <c r="F165" s="100">
        <v>67</v>
      </c>
      <c r="G165" s="101">
        <f>E165*F165</f>
        <v>31034.399999999994</v>
      </c>
      <c r="H165" s="116"/>
      <c r="I165" s="113"/>
      <c r="J165" s="111"/>
      <c r="W165" s="74">
        <v>0</v>
      </c>
    </row>
    <row r="166" spans="1:23" ht="22.5" x14ac:dyDescent="0.2">
      <c r="A166" s="96"/>
      <c r="B166" s="120"/>
      <c r="C166" s="124" t="s">
        <v>240</v>
      </c>
      <c r="D166" s="125"/>
      <c r="E166" s="126">
        <f>3.7*6.5+(6.5+6.5+3.7+3.7)*4+(1.2*2.25*2+1.2*1.25+1.9*0.5+2.3*0.5*2)</f>
        <v>115.79999999999998</v>
      </c>
      <c r="F166" s="100"/>
      <c r="G166" s="101"/>
      <c r="H166" s="116"/>
      <c r="I166" s="113"/>
      <c r="J166" s="111"/>
    </row>
    <row r="167" spans="1:23" ht="22.5" x14ac:dyDescent="0.2">
      <c r="A167" s="96"/>
      <c r="B167" s="120"/>
      <c r="C167" s="124" t="s">
        <v>235</v>
      </c>
      <c r="D167" s="125"/>
      <c r="E167" s="126">
        <f>3.7*6.5+(6.5+6.5+3.7+3.7)*4+(1.2*2.25*2+1.2*1.25+1.9*0.5+2.3*0.5*2)</f>
        <v>115.79999999999998</v>
      </c>
      <c r="F167" s="100"/>
      <c r="G167" s="101"/>
      <c r="H167" s="116"/>
      <c r="I167" s="113"/>
      <c r="J167" s="111"/>
    </row>
    <row r="168" spans="1:23" ht="22.5" x14ac:dyDescent="0.2">
      <c r="A168" s="96"/>
      <c r="B168" s="120"/>
      <c r="C168" s="124" t="s">
        <v>236</v>
      </c>
      <c r="D168" s="125"/>
      <c r="E168" s="126">
        <f>3.7*6.5+(6.5+6.5+3.7+3.7)*4+(1.2*2.25*2+1.2*1.25+1.9*0.5+2.3*0.5*2)</f>
        <v>115.79999999999998</v>
      </c>
      <c r="F168" s="100"/>
      <c r="G168" s="101"/>
      <c r="H168" s="116"/>
      <c r="I168" s="113"/>
      <c r="J168" s="111"/>
    </row>
    <row r="169" spans="1:23" ht="22.5" x14ac:dyDescent="0.2">
      <c r="A169" s="96"/>
      <c r="B169" s="120"/>
      <c r="C169" s="124" t="s">
        <v>237</v>
      </c>
      <c r="D169" s="125"/>
      <c r="E169" s="126">
        <f>3.7*6.5+(6.5+6.5+3.7+3.7)*4+(1.2*2.25*2+1.2*1.25+1.9*0.5+2.3*0.5*2)</f>
        <v>115.79999999999998</v>
      </c>
      <c r="F169" s="100"/>
      <c r="G169" s="101"/>
      <c r="H169" s="116"/>
      <c r="I169" s="113"/>
      <c r="J169" s="111"/>
    </row>
    <row r="170" spans="1:23" x14ac:dyDescent="0.2">
      <c r="A170" s="102"/>
      <c r="B170" s="121" t="s">
        <v>81</v>
      </c>
      <c r="C170" s="104" t="str">
        <f>CONCATENATE(B159," ",C159)</f>
        <v>784 Malby</v>
      </c>
      <c r="D170" s="102"/>
      <c r="E170" s="118"/>
      <c r="F170" s="105">
        <v>0</v>
      </c>
      <c r="G170" s="106">
        <f>SUM(G159:G169)</f>
        <v>49562.399999999994</v>
      </c>
      <c r="I170" s="114"/>
      <c r="J170" s="111"/>
    </row>
    <row r="171" spans="1:23" x14ac:dyDescent="0.2">
      <c r="A171" s="90" t="s">
        <v>58</v>
      </c>
      <c r="B171" s="91" t="s">
        <v>241</v>
      </c>
      <c r="C171" s="92" t="s">
        <v>242</v>
      </c>
      <c r="D171" s="93"/>
      <c r="E171" s="117"/>
      <c r="F171" s="94">
        <v>0</v>
      </c>
      <c r="G171" s="95"/>
      <c r="I171" s="112"/>
      <c r="J171" s="111"/>
    </row>
    <row r="172" spans="1:23" x14ac:dyDescent="0.2">
      <c r="A172" s="96">
        <v>49</v>
      </c>
      <c r="B172" s="97" t="s">
        <v>243</v>
      </c>
      <c r="C172" s="98" t="s">
        <v>244</v>
      </c>
      <c r="D172" s="99" t="s">
        <v>135</v>
      </c>
      <c r="E172" s="109">
        <v>1</v>
      </c>
      <c r="F172" s="109">
        <v>459300.98999999993</v>
      </c>
      <c r="G172" s="101">
        <f>E172*F172</f>
        <v>459300.98999999993</v>
      </c>
      <c r="I172" s="113"/>
      <c r="J172" s="111"/>
      <c r="W172" s="74">
        <v>0</v>
      </c>
    </row>
    <row r="173" spans="1:23" x14ac:dyDescent="0.2">
      <c r="A173" s="96">
        <v>50</v>
      </c>
      <c r="B173" s="97" t="s">
        <v>245</v>
      </c>
      <c r="C173" s="107" t="s">
        <v>246</v>
      </c>
      <c r="D173" s="99" t="s">
        <v>135</v>
      </c>
      <c r="E173" s="109">
        <v>1</v>
      </c>
      <c r="F173" s="109">
        <v>489177.38736000005</v>
      </c>
      <c r="G173" s="101">
        <f t="shared" ref="G173:G176" si="10">E173*F173</f>
        <v>489177.38736000005</v>
      </c>
      <c r="I173" s="113"/>
      <c r="J173" s="111"/>
    </row>
    <row r="174" spans="1:23" s="192" customFormat="1" ht="22.5" x14ac:dyDescent="0.2">
      <c r="A174" s="186">
        <v>51</v>
      </c>
      <c r="B174" s="187" t="s">
        <v>247</v>
      </c>
      <c r="C174" s="188" t="s">
        <v>248</v>
      </c>
      <c r="D174" s="189" t="s">
        <v>135</v>
      </c>
      <c r="E174" s="190">
        <v>0</v>
      </c>
      <c r="F174" s="190"/>
      <c r="G174" s="191">
        <f t="shared" si="10"/>
        <v>0</v>
      </c>
      <c r="I174" s="193"/>
      <c r="J174" s="194"/>
    </row>
    <row r="175" spans="1:23" ht="22.5" x14ac:dyDescent="0.2">
      <c r="A175" s="96">
        <v>52</v>
      </c>
      <c r="B175" s="97" t="s">
        <v>249</v>
      </c>
      <c r="C175" s="98" t="s">
        <v>250</v>
      </c>
      <c r="D175" s="99" t="s">
        <v>229</v>
      </c>
      <c r="E175" s="109">
        <v>8</v>
      </c>
      <c r="F175" s="109">
        <v>1500</v>
      </c>
      <c r="G175" s="101">
        <f t="shared" si="10"/>
        <v>12000</v>
      </c>
      <c r="I175" s="113"/>
      <c r="J175" s="111"/>
    </row>
    <row r="176" spans="1:23" x14ac:dyDescent="0.2">
      <c r="A176" s="96">
        <v>53</v>
      </c>
      <c r="B176" s="97" t="s">
        <v>251</v>
      </c>
      <c r="C176" s="98" t="s">
        <v>252</v>
      </c>
      <c r="D176" s="99" t="s">
        <v>175</v>
      </c>
      <c r="E176" s="109">
        <v>16</v>
      </c>
      <c r="F176" s="109">
        <v>500</v>
      </c>
      <c r="G176" s="101">
        <f t="shared" si="10"/>
        <v>8000</v>
      </c>
      <c r="I176" s="113"/>
      <c r="J176" s="111"/>
    </row>
    <row r="177" spans="1:23" x14ac:dyDescent="0.2">
      <c r="A177" s="102"/>
      <c r="B177" s="103" t="s">
        <v>81</v>
      </c>
      <c r="C177" s="104" t="str">
        <f>CONCATENATE(B171," ",C171)</f>
        <v>M21 Elektromontáže+akustika+audioviz. technika</v>
      </c>
      <c r="D177" s="102"/>
      <c r="E177" s="118"/>
      <c r="F177" s="105">
        <v>0</v>
      </c>
      <c r="G177" s="106">
        <f>SUM(G171:G176)</f>
        <v>968478.37736000004</v>
      </c>
      <c r="I177" s="113"/>
      <c r="J177" s="111"/>
    </row>
    <row r="178" spans="1:23" x14ac:dyDescent="0.2">
      <c r="A178" s="90" t="s">
        <v>58</v>
      </c>
      <c r="B178" s="91" t="s">
        <v>253</v>
      </c>
      <c r="C178" s="92" t="s">
        <v>254</v>
      </c>
      <c r="D178" s="93"/>
      <c r="E178" s="117"/>
      <c r="F178" s="94">
        <v>0</v>
      </c>
      <c r="G178" s="95"/>
      <c r="H178" s="116"/>
      <c r="I178" s="113"/>
      <c r="J178" s="111"/>
      <c r="W178" s="74">
        <v>0</v>
      </c>
    </row>
    <row r="179" spans="1:23" ht="22.5" x14ac:dyDescent="0.2">
      <c r="A179" s="96">
        <v>54</v>
      </c>
      <c r="B179" s="97" t="s">
        <v>255</v>
      </c>
      <c r="C179" s="98" t="s">
        <v>256</v>
      </c>
      <c r="D179" s="99" t="s">
        <v>229</v>
      </c>
      <c r="E179" s="109">
        <f>SUM(E180:E183)</f>
        <v>8</v>
      </c>
      <c r="F179" s="109">
        <v>3500</v>
      </c>
      <c r="G179" s="101">
        <f>E179*F179</f>
        <v>28000</v>
      </c>
      <c r="I179" s="114"/>
      <c r="J179" s="111"/>
    </row>
    <row r="180" spans="1:23" x14ac:dyDescent="0.2">
      <c r="A180" s="96"/>
      <c r="B180" s="97"/>
      <c r="C180" s="124" t="s">
        <v>77</v>
      </c>
      <c r="D180" s="125"/>
      <c r="E180" s="126">
        <v>2</v>
      </c>
      <c r="F180" s="109"/>
      <c r="G180" s="101">
        <f t="shared" ref="G180:G183" si="11">E180*F180</f>
        <v>0</v>
      </c>
      <c r="I180" s="112"/>
      <c r="J180" s="111"/>
    </row>
    <row r="181" spans="1:23" x14ac:dyDescent="0.2">
      <c r="A181" s="96"/>
      <c r="B181" s="97"/>
      <c r="C181" s="124" t="s">
        <v>78</v>
      </c>
      <c r="D181" s="125"/>
      <c r="E181" s="126">
        <v>2</v>
      </c>
      <c r="F181" s="109"/>
      <c r="G181" s="101">
        <f t="shared" si="11"/>
        <v>0</v>
      </c>
      <c r="H181" s="116"/>
      <c r="I181" s="113"/>
      <c r="J181" s="111"/>
    </row>
    <row r="182" spans="1:23" x14ac:dyDescent="0.2">
      <c r="A182" s="96"/>
      <c r="B182" s="97"/>
      <c r="C182" s="124" t="s">
        <v>79</v>
      </c>
      <c r="D182" s="125"/>
      <c r="E182" s="126">
        <v>2</v>
      </c>
      <c r="F182" s="109"/>
      <c r="G182" s="101">
        <f t="shared" si="11"/>
        <v>0</v>
      </c>
      <c r="H182" s="116"/>
      <c r="I182" s="113"/>
      <c r="J182" s="111"/>
    </row>
    <row r="183" spans="1:23" x14ac:dyDescent="0.2">
      <c r="A183" s="96"/>
      <c r="B183" s="97"/>
      <c r="C183" s="124" t="s">
        <v>80</v>
      </c>
      <c r="D183" s="125"/>
      <c r="E183" s="126">
        <v>2</v>
      </c>
      <c r="F183" s="109"/>
      <c r="G183" s="101">
        <f t="shared" si="11"/>
        <v>0</v>
      </c>
      <c r="H183" s="116"/>
      <c r="I183" s="113"/>
      <c r="J183" s="111"/>
    </row>
    <row r="184" spans="1:23" x14ac:dyDescent="0.2">
      <c r="A184" s="102"/>
      <c r="B184" s="103" t="s">
        <v>81</v>
      </c>
      <c r="C184" s="104" t="str">
        <f>CONCATENATE(B178," ",C178)</f>
        <v>M24 Vzduchotechnika</v>
      </c>
      <c r="D184" s="102"/>
      <c r="E184" s="118"/>
      <c r="F184" s="105">
        <v>0</v>
      </c>
      <c r="G184" s="127">
        <f>SUM(G178:G183)</f>
        <v>28000</v>
      </c>
      <c r="H184" s="116"/>
      <c r="I184" s="113"/>
      <c r="J184" s="111"/>
    </row>
    <row r="185" spans="1:23" x14ac:dyDescent="0.2">
      <c r="E185" s="74"/>
      <c r="H185" s="116"/>
      <c r="I185" s="113"/>
      <c r="J185" s="111"/>
    </row>
    <row r="186" spans="1:23" x14ac:dyDescent="0.2">
      <c r="A186" s="130"/>
      <c r="B186" s="131" t="s">
        <v>81</v>
      </c>
      <c r="C186" s="132"/>
      <c r="D186" s="130"/>
      <c r="E186" s="133"/>
      <c r="F186" s="134">
        <v>0</v>
      </c>
      <c r="G186" s="135">
        <f>G184+G177+G170+G158+G146+G137+G133+G118+G107+G101+G98+G81+G78+G68+G50+G23+G121</f>
        <v>2205145.30736</v>
      </c>
      <c r="I186" s="114"/>
      <c r="J186" s="111"/>
    </row>
    <row r="187" spans="1:23" x14ac:dyDescent="0.2">
      <c r="C187" s="136"/>
      <c r="E187" s="74"/>
    </row>
    <row r="188" spans="1:23" x14ac:dyDescent="0.2">
      <c r="E188" s="74"/>
    </row>
    <row r="189" spans="1:23" x14ac:dyDescent="0.2">
      <c r="E189" s="74"/>
    </row>
    <row r="190" spans="1:23" x14ac:dyDescent="0.2">
      <c r="E190" s="74"/>
    </row>
    <row r="191" spans="1:23" x14ac:dyDescent="0.2">
      <c r="E191" s="74"/>
    </row>
    <row r="192" spans="1:23" x14ac:dyDescent="0.2">
      <c r="E192" s="74"/>
    </row>
    <row r="193" spans="5:5" x14ac:dyDescent="0.2">
      <c r="E193" s="74"/>
    </row>
    <row r="194" spans="5:5" x14ac:dyDescent="0.2">
      <c r="E194" s="74"/>
    </row>
    <row r="195" spans="5:5" x14ac:dyDescent="0.2">
      <c r="E195" s="74"/>
    </row>
    <row r="196" spans="5:5" x14ac:dyDescent="0.2">
      <c r="E196" s="74"/>
    </row>
    <row r="197" spans="5:5" x14ac:dyDescent="0.2">
      <c r="E197" s="74"/>
    </row>
    <row r="198" spans="5:5" x14ac:dyDescent="0.2">
      <c r="E198" s="74"/>
    </row>
    <row r="199" spans="5:5" x14ac:dyDescent="0.2">
      <c r="E199" s="74"/>
    </row>
    <row r="200" spans="5:5" x14ac:dyDescent="0.2">
      <c r="E200" s="74"/>
    </row>
    <row r="201" spans="5:5" x14ac:dyDescent="0.2">
      <c r="E201" s="74"/>
    </row>
    <row r="202" spans="5:5" x14ac:dyDescent="0.2">
      <c r="E202" s="74"/>
    </row>
    <row r="203" spans="5:5" x14ac:dyDescent="0.2">
      <c r="E203" s="74"/>
    </row>
    <row r="204" spans="5:5" x14ac:dyDescent="0.2">
      <c r="E204" s="74"/>
    </row>
    <row r="205" spans="5:5" x14ac:dyDescent="0.2">
      <c r="E205" s="74"/>
    </row>
    <row r="206" spans="5:5" x14ac:dyDescent="0.2">
      <c r="E206" s="74"/>
    </row>
    <row r="207" spans="5:5" x14ac:dyDescent="0.2">
      <c r="E207" s="74"/>
    </row>
    <row r="208" spans="5:5" x14ac:dyDescent="0.2">
      <c r="E208" s="74"/>
    </row>
    <row r="209" spans="1:7" x14ac:dyDescent="0.2">
      <c r="E209" s="74"/>
    </row>
    <row r="210" spans="1:7" x14ac:dyDescent="0.2">
      <c r="E210" s="74"/>
    </row>
    <row r="211" spans="1:7" x14ac:dyDescent="0.2">
      <c r="E211" s="74"/>
    </row>
    <row r="212" spans="1:7" x14ac:dyDescent="0.2">
      <c r="A212" s="85"/>
      <c r="B212" s="85"/>
    </row>
    <row r="213" spans="1:7" x14ac:dyDescent="0.2">
      <c r="C213" s="86"/>
      <c r="D213" s="86"/>
      <c r="E213" s="87"/>
      <c r="F213" s="86"/>
      <c r="G213" s="88"/>
    </row>
    <row r="214" spans="1:7" x14ac:dyDescent="0.2">
      <c r="A214" s="85"/>
      <c r="B214" s="85"/>
    </row>
  </sheetData>
  <mergeCells count="4">
    <mergeCell ref="A1:G1"/>
    <mergeCell ref="A3:B3"/>
    <mergeCell ref="A4:B4"/>
    <mergeCell ref="E4:G4"/>
  </mergeCells>
  <phoneticPr fontId="20" type="noConversion"/>
  <printOptions gridLines="1" gridLinesSet="0"/>
  <pageMargins left="0.59055118110236227" right="0.39370078740157483" top="0.19685039370078741" bottom="0.19685039370078741" header="0" footer="0.19685039370078741"/>
  <pageSetup paperSize="9" scale="97" orientation="portrait" horizontalDpi="300" r:id="rId1"/>
  <headerFooter alignWithMargins="0">
    <oddFooter>Stránka &amp;P z &amp;N</oddFooter>
  </headerFooter>
  <rowBreaks count="3" manualBreakCount="3">
    <brk id="56" max="6" man="1"/>
    <brk id="107" max="6" man="1"/>
    <brk id="14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4F3CC-E523-4EE2-A5FF-9585CA085DD1}">
  <sheetPr>
    <pageSetUpPr fitToPage="1"/>
  </sheetPr>
  <dimension ref="A1:M66"/>
  <sheetViews>
    <sheetView view="pageBreakPreview" topLeftCell="A37" zoomScale="160" zoomScaleNormal="145" zoomScaleSheetLayoutView="160" workbookViewId="0">
      <selection activeCell="C62" sqref="C62"/>
    </sheetView>
  </sheetViews>
  <sheetFormatPr defaultColWidth="9.140625" defaultRowHeight="15" x14ac:dyDescent="0.2"/>
  <cols>
    <col min="1" max="1" width="3.85546875" style="198" customWidth="1"/>
    <col min="2" max="2" width="13.140625" style="198" bestFit="1" customWidth="1"/>
    <col min="3" max="3" width="40.42578125" style="198" customWidth="1"/>
    <col min="4" max="4" width="12.140625" style="198" bestFit="1" customWidth="1"/>
    <col min="5" max="5" width="8.42578125" style="198" bestFit="1" customWidth="1"/>
    <col min="6" max="6" width="8.7109375" style="198" bestFit="1" customWidth="1"/>
    <col min="7" max="7" width="14.85546875" style="198" bestFit="1" customWidth="1"/>
    <col min="8" max="8" width="13.28515625" style="281" customWidth="1"/>
    <col min="9" max="9" width="8.85546875" style="282" customWidth="1"/>
    <col min="10" max="10" width="10.7109375" style="283" bestFit="1" customWidth="1"/>
    <col min="11" max="11" width="14.28515625" style="283" bestFit="1" customWidth="1"/>
    <col min="12" max="12" width="12.5703125" style="283" customWidth="1"/>
    <col min="13" max="13" width="15.5703125" style="283" customWidth="1"/>
    <col min="14" max="16384" width="9.140625" style="198"/>
  </cols>
  <sheetData>
    <row r="1" spans="1:13" ht="15.75" x14ac:dyDescent="0.2">
      <c r="A1" s="373" t="s">
        <v>710</v>
      </c>
      <c r="B1" s="373"/>
      <c r="C1" s="373"/>
      <c r="D1" s="373"/>
      <c r="E1" s="373"/>
      <c r="F1" s="373"/>
      <c r="G1" s="373"/>
    </row>
    <row r="2" spans="1:13" ht="16.5" thickBot="1" x14ac:dyDescent="0.25">
      <c r="A2" s="373"/>
      <c r="B2" s="373"/>
      <c r="C2" s="373"/>
      <c r="D2" s="373"/>
      <c r="E2" s="373"/>
      <c r="F2" s="373"/>
      <c r="G2" s="373"/>
    </row>
    <row r="3" spans="1:13" ht="15.75" thickTop="1" x14ac:dyDescent="0.2">
      <c r="A3" s="374" t="s">
        <v>4</v>
      </c>
      <c r="B3" s="375"/>
      <c r="C3" s="284" t="str">
        <f>CONCATENATE(cislostavby," ",nazevstavby)</f>
        <v xml:space="preserve"> REKONSTRUKCE PROSTOR PRO DOKTORANDSKÁ STUDIA</v>
      </c>
      <c r="D3" s="285"/>
      <c r="E3" s="286"/>
      <c r="F3" s="287"/>
      <c r="G3" s="288" t="s">
        <v>18</v>
      </c>
    </row>
    <row r="4" spans="1:13" ht="15.75" thickBot="1" x14ac:dyDescent="0.25">
      <c r="A4" s="376" t="s">
        <v>1</v>
      </c>
      <c r="B4" s="377"/>
      <c r="C4" s="289" t="str">
        <f>CONCATENATE(cisloobjektu," ",nazevobjektu)</f>
        <v xml:space="preserve"> FF UK OSIP PRAHA 1, NÁM. JANA PALACHA 2</v>
      </c>
      <c r="D4" s="290"/>
      <c r="E4" s="378"/>
      <c r="F4" s="378"/>
      <c r="G4" s="379"/>
    </row>
    <row r="5" spans="1:13" ht="15.75" thickTop="1" x14ac:dyDescent="0.2">
      <c r="A5" s="291"/>
      <c r="B5" s="267"/>
      <c r="C5" s="267"/>
      <c r="D5" s="267"/>
      <c r="E5" s="292"/>
      <c r="F5" s="267"/>
      <c r="G5" s="267"/>
    </row>
    <row r="6" spans="1:13" ht="54" customHeight="1" x14ac:dyDescent="0.2">
      <c r="A6" s="265" t="s">
        <v>51</v>
      </c>
      <c r="B6" s="264" t="s">
        <v>52</v>
      </c>
      <c r="C6" s="264" t="s">
        <v>53</v>
      </c>
      <c r="D6" s="264" t="s">
        <v>54</v>
      </c>
      <c r="E6" s="264" t="s">
        <v>55</v>
      </c>
      <c r="F6" s="264" t="s">
        <v>56</v>
      </c>
      <c r="G6" s="263" t="s">
        <v>57</v>
      </c>
      <c r="H6" s="262" t="s">
        <v>679</v>
      </c>
      <c r="J6" s="293" t="s">
        <v>678</v>
      </c>
      <c r="K6" s="293" t="s">
        <v>677</v>
      </c>
      <c r="L6" s="293" t="s">
        <v>676</v>
      </c>
      <c r="M6" s="293" t="s">
        <v>675</v>
      </c>
    </row>
    <row r="7" spans="1:13" s="267" customFormat="1" ht="12.75" x14ac:dyDescent="0.2">
      <c r="A7" s="294" t="s">
        <v>58</v>
      </c>
      <c r="B7" s="295" t="s">
        <v>59</v>
      </c>
      <c r="C7" s="296" t="s">
        <v>60</v>
      </c>
      <c r="D7" s="297"/>
      <c r="E7" s="298"/>
      <c r="F7" s="299"/>
      <c r="G7" s="300"/>
      <c r="H7" s="301"/>
      <c r="I7" s="282"/>
      <c r="J7" s="302"/>
      <c r="K7" s="283"/>
      <c r="L7" s="283"/>
      <c r="M7" s="302"/>
    </row>
    <row r="8" spans="1:13" s="267" customFormat="1" ht="22.5" x14ac:dyDescent="0.2">
      <c r="A8" s="297">
        <v>2</v>
      </c>
      <c r="B8" s="239" t="s">
        <v>68</v>
      </c>
      <c r="C8" s="303" t="s">
        <v>69</v>
      </c>
      <c r="D8" s="304" t="s">
        <v>63</v>
      </c>
      <c r="E8" s="305">
        <v>-77.7</v>
      </c>
      <c r="F8" s="306">
        <v>280</v>
      </c>
      <c r="G8" s="307">
        <f t="shared" ref="G8" si="0">E8*F8</f>
        <v>-21756</v>
      </c>
      <c r="H8" s="301" t="s">
        <v>645</v>
      </c>
      <c r="I8" s="282"/>
      <c r="J8" s="308"/>
      <c r="K8" s="283"/>
      <c r="L8" s="283">
        <f>1*0.25</f>
        <v>0.25</v>
      </c>
      <c r="M8" s="302"/>
    </row>
    <row r="9" spans="1:13" s="267" customFormat="1" ht="12.75" x14ac:dyDescent="0.2">
      <c r="A9" s="297"/>
      <c r="B9" s="239"/>
      <c r="C9" s="309" t="s">
        <v>711</v>
      </c>
      <c r="D9" s="310"/>
      <c r="E9" s="311">
        <v>-24.05</v>
      </c>
      <c r="F9" s="306"/>
      <c r="G9" s="307"/>
      <c r="H9" s="312"/>
      <c r="I9" s="282"/>
      <c r="J9" s="308"/>
      <c r="K9" s="283"/>
      <c r="L9" s="283"/>
      <c r="M9" s="302"/>
    </row>
    <row r="10" spans="1:13" s="267" customFormat="1" ht="12.75" x14ac:dyDescent="0.2">
      <c r="A10" s="297"/>
      <c r="B10" s="239"/>
      <c r="C10" s="309" t="s">
        <v>712</v>
      </c>
      <c r="D10" s="310"/>
      <c r="E10" s="311">
        <v>-24.05</v>
      </c>
      <c r="F10" s="306"/>
      <c r="G10" s="307"/>
      <c r="H10" s="312"/>
      <c r="I10" s="282"/>
      <c r="J10" s="308"/>
      <c r="K10" s="283"/>
      <c r="L10" s="283"/>
      <c r="M10" s="302"/>
    </row>
    <row r="11" spans="1:13" s="267" customFormat="1" ht="12.75" x14ac:dyDescent="0.2">
      <c r="A11" s="297"/>
      <c r="B11" s="239"/>
      <c r="C11" s="309" t="s">
        <v>713</v>
      </c>
      <c r="D11" s="310"/>
      <c r="E11" s="311">
        <v>-24.05</v>
      </c>
      <c r="F11" s="306"/>
      <c r="G11" s="307"/>
      <c r="H11" s="312"/>
      <c r="I11" s="282"/>
      <c r="J11" s="308"/>
      <c r="K11" s="283"/>
      <c r="L11" s="283"/>
      <c r="M11" s="302"/>
    </row>
    <row r="12" spans="1:13" s="267" customFormat="1" ht="12.75" x14ac:dyDescent="0.2">
      <c r="A12" s="297"/>
      <c r="B12" s="239"/>
      <c r="C12" s="309" t="s">
        <v>714</v>
      </c>
      <c r="D12" s="310"/>
      <c r="E12" s="311">
        <v>-24.05</v>
      </c>
      <c r="F12" s="306"/>
      <c r="G12" s="307"/>
      <c r="H12" s="312"/>
      <c r="I12" s="282"/>
      <c r="J12" s="308"/>
      <c r="K12" s="283"/>
      <c r="L12" s="283"/>
      <c r="M12" s="302"/>
    </row>
    <row r="13" spans="1:13" s="267" customFormat="1" ht="12.75" x14ac:dyDescent="0.2">
      <c r="A13" s="297"/>
      <c r="B13" s="239"/>
      <c r="C13" s="313" t="s">
        <v>715</v>
      </c>
      <c r="D13" s="310"/>
      <c r="E13" s="314">
        <v>4.625</v>
      </c>
      <c r="F13" s="306"/>
      <c r="G13" s="307"/>
      <c r="H13" s="312"/>
      <c r="I13" s="282"/>
      <c r="J13" s="308"/>
      <c r="K13" s="283"/>
      <c r="L13" s="283"/>
      <c r="M13" s="302"/>
    </row>
    <row r="14" spans="1:13" s="267" customFormat="1" ht="12.75" x14ac:dyDescent="0.2">
      <c r="A14" s="297"/>
      <c r="B14" s="239"/>
      <c r="C14" s="313" t="s">
        <v>716</v>
      </c>
      <c r="D14" s="310"/>
      <c r="E14" s="314">
        <v>4.625</v>
      </c>
      <c r="F14" s="306"/>
      <c r="G14" s="307"/>
      <c r="H14" s="312"/>
      <c r="I14" s="282"/>
      <c r="J14" s="308"/>
      <c r="K14" s="283"/>
      <c r="L14" s="283"/>
      <c r="M14" s="302"/>
    </row>
    <row r="15" spans="1:13" s="267" customFormat="1" ht="12.75" x14ac:dyDescent="0.2">
      <c r="A15" s="297"/>
      <c r="B15" s="239"/>
      <c r="C15" s="313" t="s">
        <v>717</v>
      </c>
      <c r="D15" s="310"/>
      <c r="E15" s="314">
        <v>4.625</v>
      </c>
      <c r="F15" s="306"/>
      <c r="G15" s="307"/>
      <c r="H15" s="312"/>
      <c r="I15" s="282"/>
      <c r="J15" s="308"/>
      <c r="K15" s="283"/>
      <c r="L15" s="283"/>
      <c r="M15" s="302"/>
    </row>
    <row r="16" spans="1:13" s="267" customFormat="1" ht="12.75" x14ac:dyDescent="0.2">
      <c r="A16" s="297"/>
      <c r="B16" s="239"/>
      <c r="C16" s="313" t="s">
        <v>718</v>
      </c>
      <c r="D16" s="310"/>
      <c r="E16" s="314">
        <v>4.625</v>
      </c>
      <c r="F16" s="306"/>
      <c r="G16" s="307"/>
      <c r="H16" s="312"/>
      <c r="I16" s="282"/>
      <c r="J16" s="308"/>
      <c r="K16" s="283"/>
      <c r="L16" s="283"/>
      <c r="M16" s="302"/>
    </row>
    <row r="17" spans="1:13" s="267" customFormat="1" ht="12.75" x14ac:dyDescent="0.2">
      <c r="A17" s="315" t="s">
        <v>637</v>
      </c>
      <c r="B17" s="239" t="s">
        <v>61</v>
      </c>
      <c r="C17" s="303" t="s">
        <v>257</v>
      </c>
      <c r="D17" s="216" t="s">
        <v>76</v>
      </c>
      <c r="E17" s="306">
        <v>79.920000000000016</v>
      </c>
      <c r="F17" s="306">
        <v>770</v>
      </c>
      <c r="G17" s="316">
        <f t="shared" ref="G17" si="1">E17*F17</f>
        <v>61538.400000000009</v>
      </c>
      <c r="H17" s="301" t="s">
        <v>645</v>
      </c>
      <c r="I17" s="282"/>
      <c r="J17" s="283">
        <v>8.9999999999999993E-3</v>
      </c>
      <c r="K17" s="302">
        <f>E17*J17</f>
        <v>0.71928000000000014</v>
      </c>
      <c r="L17" s="283"/>
      <c r="M17" s="302"/>
    </row>
    <row r="18" spans="1:13" s="267" customFormat="1" ht="12.75" x14ac:dyDescent="0.2">
      <c r="A18" s="315"/>
      <c r="B18" s="239"/>
      <c r="C18" s="313" t="s">
        <v>719</v>
      </c>
      <c r="D18" s="304"/>
      <c r="E18" s="314">
        <v>19.980000000000004</v>
      </c>
      <c r="F18" s="306"/>
      <c r="G18" s="316"/>
      <c r="H18" s="301"/>
      <c r="I18" s="282"/>
      <c r="J18" s="283"/>
      <c r="K18" s="283"/>
      <c r="L18" s="283"/>
      <c r="M18" s="302"/>
    </row>
    <row r="19" spans="1:13" s="267" customFormat="1" ht="12.75" x14ac:dyDescent="0.2">
      <c r="A19" s="315"/>
      <c r="B19" s="239"/>
      <c r="C19" s="313" t="s">
        <v>720</v>
      </c>
      <c r="D19" s="304"/>
      <c r="E19" s="314">
        <v>19.980000000000004</v>
      </c>
      <c r="F19" s="306"/>
      <c r="G19" s="316"/>
      <c r="H19" s="301"/>
      <c r="I19" s="282"/>
      <c r="J19" s="283"/>
      <c r="K19" s="283"/>
      <c r="L19" s="283"/>
      <c r="M19" s="302"/>
    </row>
    <row r="20" spans="1:13" s="267" customFormat="1" ht="12.75" x14ac:dyDescent="0.2">
      <c r="A20" s="315"/>
      <c r="B20" s="239"/>
      <c r="C20" s="313" t="s">
        <v>721</v>
      </c>
      <c r="D20" s="304"/>
      <c r="E20" s="314">
        <v>19.980000000000004</v>
      </c>
      <c r="F20" s="306"/>
      <c r="G20" s="316"/>
      <c r="H20" s="301"/>
      <c r="I20" s="282"/>
      <c r="J20" s="283"/>
      <c r="K20" s="283"/>
      <c r="L20" s="283"/>
      <c r="M20" s="302"/>
    </row>
    <row r="21" spans="1:13" s="267" customFormat="1" ht="12.75" x14ac:dyDescent="0.2">
      <c r="A21" s="315"/>
      <c r="B21" s="239"/>
      <c r="C21" s="313" t="s">
        <v>722</v>
      </c>
      <c r="D21" s="304"/>
      <c r="E21" s="314">
        <v>19.980000000000004</v>
      </c>
      <c r="F21" s="306"/>
      <c r="G21" s="316"/>
      <c r="H21" s="301"/>
      <c r="I21" s="282"/>
      <c r="J21" s="283"/>
      <c r="K21" s="283"/>
      <c r="L21" s="317"/>
      <c r="M21" s="302"/>
    </row>
    <row r="22" spans="1:13" s="267" customFormat="1" ht="45" x14ac:dyDescent="0.2">
      <c r="A22" s="297" t="s">
        <v>637</v>
      </c>
      <c r="B22" s="239" t="s">
        <v>706</v>
      </c>
      <c r="C22" s="303" t="s">
        <v>705</v>
      </c>
      <c r="D22" s="304" t="s">
        <v>76</v>
      </c>
      <c r="E22" s="306">
        <v>8</v>
      </c>
      <c r="F22" s="318">
        <v>592</v>
      </c>
      <c r="G22" s="319">
        <f t="shared" ref="G22" si="2">E22*F22</f>
        <v>4736</v>
      </c>
      <c r="H22" s="301" t="s">
        <v>645</v>
      </c>
      <c r="I22" s="282"/>
      <c r="J22" s="283">
        <v>8.9999999999999993E-3</v>
      </c>
      <c r="K22" s="302">
        <f>E22*J22</f>
        <v>7.1999999999999995E-2</v>
      </c>
      <c r="L22" s="283"/>
      <c r="M22" s="302"/>
    </row>
    <row r="23" spans="1:13" s="267" customFormat="1" ht="12.75" x14ac:dyDescent="0.2">
      <c r="A23" s="315"/>
      <c r="B23" s="239"/>
      <c r="C23" s="313" t="s">
        <v>77</v>
      </c>
      <c r="D23" s="304"/>
      <c r="E23" s="314">
        <v>2</v>
      </c>
      <c r="F23" s="306"/>
      <c r="G23" s="316"/>
      <c r="H23" s="301"/>
      <c r="I23" s="282"/>
      <c r="J23" s="283"/>
      <c r="K23" s="283"/>
      <c r="L23" s="283"/>
      <c r="M23" s="302"/>
    </row>
    <row r="24" spans="1:13" s="267" customFormat="1" ht="12.75" x14ac:dyDescent="0.2">
      <c r="A24" s="315"/>
      <c r="B24" s="239"/>
      <c r="C24" s="313" t="s">
        <v>78</v>
      </c>
      <c r="D24" s="304"/>
      <c r="E24" s="314">
        <v>2</v>
      </c>
      <c r="F24" s="306"/>
      <c r="G24" s="316"/>
      <c r="H24" s="301"/>
      <c r="I24" s="282"/>
      <c r="J24" s="283"/>
      <c r="K24" s="283"/>
      <c r="L24" s="283"/>
      <c r="M24" s="302"/>
    </row>
    <row r="25" spans="1:13" s="267" customFormat="1" ht="12.75" x14ac:dyDescent="0.2">
      <c r="A25" s="315"/>
      <c r="B25" s="239"/>
      <c r="C25" s="313" t="s">
        <v>79</v>
      </c>
      <c r="D25" s="304"/>
      <c r="E25" s="314">
        <v>2</v>
      </c>
      <c r="F25" s="306"/>
      <c r="G25" s="316"/>
      <c r="H25" s="301"/>
      <c r="I25" s="282"/>
      <c r="J25" s="283"/>
      <c r="K25" s="283"/>
      <c r="L25" s="283"/>
      <c r="M25" s="302"/>
    </row>
    <row r="26" spans="1:13" s="267" customFormat="1" ht="12.75" x14ac:dyDescent="0.2">
      <c r="A26" s="315"/>
      <c r="B26" s="239"/>
      <c r="C26" s="313" t="s">
        <v>80</v>
      </c>
      <c r="D26" s="304"/>
      <c r="E26" s="314">
        <v>2</v>
      </c>
      <c r="F26" s="306"/>
      <c r="G26" s="316"/>
      <c r="H26" s="301"/>
      <c r="I26" s="282"/>
      <c r="J26" s="283"/>
      <c r="K26" s="283"/>
      <c r="L26" s="317"/>
      <c r="M26" s="302"/>
    </row>
    <row r="27" spans="1:13" s="267" customFormat="1" ht="33.75" x14ac:dyDescent="0.2">
      <c r="A27" s="315" t="s">
        <v>637</v>
      </c>
      <c r="B27" s="239" t="s">
        <v>723</v>
      </c>
      <c r="C27" s="320" t="s">
        <v>724</v>
      </c>
      <c r="D27" s="304" t="s">
        <v>229</v>
      </c>
      <c r="E27" s="306">
        <v>8</v>
      </c>
      <c r="F27" s="318">
        <v>399</v>
      </c>
      <c r="G27" s="316">
        <f>E27*F27</f>
        <v>3192</v>
      </c>
      <c r="H27" s="321" t="s">
        <v>700</v>
      </c>
      <c r="I27" s="282"/>
      <c r="J27" s="283">
        <v>3.0000000000000001E-5</v>
      </c>
      <c r="K27" s="302">
        <f>E27*J27</f>
        <v>2.4000000000000001E-4</v>
      </c>
      <c r="L27" s="283"/>
      <c r="M27" s="302"/>
    </row>
    <row r="28" spans="1:13" s="267" customFormat="1" ht="22.5" x14ac:dyDescent="0.2">
      <c r="A28" s="315" t="s">
        <v>637</v>
      </c>
      <c r="B28" s="239" t="s">
        <v>725</v>
      </c>
      <c r="C28" s="320" t="s">
        <v>726</v>
      </c>
      <c r="D28" s="304" t="s">
        <v>229</v>
      </c>
      <c r="E28" s="306">
        <v>8</v>
      </c>
      <c r="F28" s="318">
        <v>848</v>
      </c>
      <c r="G28" s="316">
        <f>E28*F28</f>
        <v>6784</v>
      </c>
      <c r="H28" s="321" t="s">
        <v>700</v>
      </c>
      <c r="I28" s="282"/>
      <c r="J28" s="283">
        <v>1.4E-3</v>
      </c>
      <c r="K28" s="302">
        <f>E28*J28</f>
        <v>1.12E-2</v>
      </c>
      <c r="L28" s="283"/>
      <c r="M28" s="302"/>
    </row>
    <row r="29" spans="1:13" s="267" customFormat="1" ht="12.75" x14ac:dyDescent="0.2">
      <c r="A29" s="315" t="s">
        <v>637</v>
      </c>
      <c r="B29" s="322" t="s">
        <v>635</v>
      </c>
      <c r="C29" s="320" t="s">
        <v>727</v>
      </c>
      <c r="D29" s="304" t="s">
        <v>86</v>
      </c>
      <c r="E29" s="306">
        <v>14.8</v>
      </c>
      <c r="F29" s="318">
        <f>920*1.15</f>
        <v>1058</v>
      </c>
      <c r="G29" s="316">
        <f>E29*F29</f>
        <v>15658.400000000001</v>
      </c>
      <c r="H29" s="301" t="s">
        <v>728</v>
      </c>
      <c r="I29" s="282"/>
      <c r="J29" s="283"/>
      <c r="K29" s="283"/>
      <c r="L29" s="283"/>
      <c r="M29" s="302"/>
    </row>
    <row r="30" spans="1:13" s="267" customFormat="1" ht="12.75" x14ac:dyDescent="0.2">
      <c r="A30" s="315" t="s">
        <v>637</v>
      </c>
      <c r="B30" s="322" t="s">
        <v>635</v>
      </c>
      <c r="C30" s="320" t="s">
        <v>729</v>
      </c>
      <c r="D30" s="304" t="s">
        <v>86</v>
      </c>
      <c r="E30" s="306">
        <v>14.8</v>
      </c>
      <c r="F30" s="318">
        <f>885*1.15</f>
        <v>1017.7499999999999</v>
      </c>
      <c r="G30" s="316">
        <f>E30*F30</f>
        <v>15062.699999999999</v>
      </c>
      <c r="H30" s="301" t="s">
        <v>728</v>
      </c>
      <c r="I30" s="282"/>
      <c r="J30" s="283"/>
      <c r="K30" s="283"/>
      <c r="L30" s="283"/>
      <c r="M30" s="302"/>
    </row>
    <row r="31" spans="1:13" s="267" customFormat="1" ht="12.75" x14ac:dyDescent="0.2">
      <c r="A31" s="297"/>
      <c r="B31" s="239"/>
      <c r="C31" s="320"/>
      <c r="D31" s="304"/>
      <c r="E31" s="306"/>
      <c r="F31" s="318"/>
      <c r="G31" s="316"/>
      <c r="H31" s="301"/>
      <c r="I31" s="282"/>
      <c r="J31" s="283"/>
      <c r="K31" s="283"/>
      <c r="L31" s="283"/>
      <c r="M31" s="302"/>
    </row>
    <row r="32" spans="1:13" s="267" customFormat="1" ht="12.75" x14ac:dyDescent="0.2">
      <c r="A32" s="323"/>
      <c r="B32" s="234" t="s">
        <v>81</v>
      </c>
      <c r="C32" s="324" t="str">
        <f>C7</f>
        <v>Vodorovné konstukce</v>
      </c>
      <c r="D32" s="323"/>
      <c r="E32" s="325"/>
      <c r="F32" s="325"/>
      <c r="G32" s="326">
        <f>SUM(G7:G31)</f>
        <v>85215.500000000015</v>
      </c>
      <c r="H32" s="321"/>
      <c r="I32" s="282"/>
      <c r="J32" s="283"/>
      <c r="K32" s="283"/>
      <c r="L32" s="283"/>
      <c r="M32" s="302"/>
    </row>
    <row r="33" spans="1:13" s="267" customFormat="1" x14ac:dyDescent="0.2">
      <c r="A33" s="294" t="s">
        <v>58</v>
      </c>
      <c r="B33" s="243" t="s">
        <v>129</v>
      </c>
      <c r="C33" s="296" t="s">
        <v>130</v>
      </c>
      <c r="D33" s="297"/>
      <c r="E33" s="298"/>
      <c r="F33" s="299"/>
      <c r="G33" s="327"/>
      <c r="H33" s="328"/>
      <c r="I33" s="282"/>
      <c r="J33" s="283"/>
      <c r="K33" s="283"/>
      <c r="L33" s="283"/>
      <c r="M33" s="302"/>
    </row>
    <row r="34" spans="1:13" s="267" customFormat="1" ht="29.25" customHeight="1" x14ac:dyDescent="0.2">
      <c r="A34" s="315">
        <v>15</v>
      </c>
      <c r="B34" s="239" t="s">
        <v>136</v>
      </c>
      <c r="C34" s="303" t="s">
        <v>137</v>
      </c>
      <c r="D34" s="304" t="s">
        <v>135</v>
      </c>
      <c r="E34" s="306">
        <v>1</v>
      </c>
      <c r="F34" s="318">
        <f>'[5]1.NP - AV tech Učebny ZL Č.3'!F33</f>
        <v>22796</v>
      </c>
      <c r="G34" s="316">
        <f>E34*F34</f>
        <v>22796</v>
      </c>
      <c r="H34" s="301" t="s">
        <v>730</v>
      </c>
      <c r="I34" s="282"/>
      <c r="J34" s="283"/>
      <c r="K34" s="283"/>
      <c r="L34" s="283"/>
      <c r="M34" s="302"/>
    </row>
    <row r="35" spans="1:13" s="267" customFormat="1" ht="12.75" x14ac:dyDescent="0.2">
      <c r="A35" s="329"/>
      <c r="B35" s="234" t="s">
        <v>81</v>
      </c>
      <c r="C35" s="330" t="str">
        <f>C33</f>
        <v>Ostatní konstrukce a práce</v>
      </c>
      <c r="D35" s="329"/>
      <c r="E35" s="325"/>
      <c r="F35" s="331"/>
      <c r="G35" s="332">
        <f>SUM(G34:G34)</f>
        <v>22796</v>
      </c>
      <c r="H35" s="333"/>
      <c r="I35" s="334"/>
      <c r="J35" s="283"/>
      <c r="K35" s="283"/>
      <c r="L35" s="283"/>
      <c r="M35" s="302"/>
    </row>
    <row r="36" spans="1:13" s="267" customFormat="1" x14ac:dyDescent="0.2">
      <c r="A36" s="226" t="s">
        <v>58</v>
      </c>
      <c r="B36" s="232" t="s">
        <v>111</v>
      </c>
      <c r="C36" s="224" t="s">
        <v>112</v>
      </c>
      <c r="D36" s="297"/>
      <c r="E36" s="298"/>
      <c r="F36" s="299"/>
      <c r="G36" s="327"/>
      <c r="H36" s="328"/>
      <c r="I36" s="282"/>
      <c r="J36" s="283"/>
      <c r="K36" s="283"/>
      <c r="L36" s="283"/>
      <c r="M36" s="302"/>
    </row>
    <row r="37" spans="1:13" s="267" customFormat="1" ht="45" x14ac:dyDescent="0.2">
      <c r="A37" s="315" t="s">
        <v>637</v>
      </c>
      <c r="B37" s="239" t="s">
        <v>731</v>
      </c>
      <c r="C37" s="303" t="s">
        <v>732</v>
      </c>
      <c r="D37" s="304" t="s">
        <v>229</v>
      </c>
      <c r="E37" s="306">
        <v>-1</v>
      </c>
      <c r="F37" s="318">
        <f>23600*0.6</f>
        <v>14160</v>
      </c>
      <c r="G37" s="316">
        <f>E37*F37</f>
        <v>-14160</v>
      </c>
      <c r="H37" s="301" t="s">
        <v>728</v>
      </c>
      <c r="I37" s="282"/>
      <c r="J37" s="283"/>
      <c r="K37" s="283"/>
      <c r="L37" s="283"/>
      <c r="M37" s="302"/>
    </row>
    <row r="38" spans="1:13" s="267" customFormat="1" ht="12.75" x14ac:dyDescent="0.2">
      <c r="A38" s="315"/>
      <c r="B38" s="239"/>
      <c r="C38" s="309" t="s">
        <v>117</v>
      </c>
      <c r="D38" s="304"/>
      <c r="E38" s="311">
        <v>-1</v>
      </c>
      <c r="F38" s="306"/>
      <c r="G38" s="316"/>
      <c r="H38" s="301"/>
      <c r="I38" s="282"/>
      <c r="J38" s="283"/>
      <c r="K38" s="283"/>
      <c r="L38" s="317"/>
      <c r="M38" s="302"/>
    </row>
    <row r="39" spans="1:13" s="267" customFormat="1" ht="12.75" x14ac:dyDescent="0.2">
      <c r="A39" s="329"/>
      <c r="B39" s="234" t="s">
        <v>81</v>
      </c>
      <c r="C39" s="330" t="str">
        <f>C36</f>
        <v>Výplně otvorů</v>
      </c>
      <c r="D39" s="329"/>
      <c r="E39" s="325"/>
      <c r="F39" s="331"/>
      <c r="G39" s="332">
        <f>SUM(G37:G37)</f>
        <v>-14160</v>
      </c>
      <c r="H39" s="333"/>
      <c r="I39" s="334"/>
      <c r="J39" s="283"/>
      <c r="K39" s="283"/>
      <c r="L39" s="283"/>
      <c r="M39" s="302"/>
    </row>
    <row r="40" spans="1:13" s="267" customFormat="1" x14ac:dyDescent="0.2">
      <c r="A40" s="226" t="s">
        <v>58</v>
      </c>
      <c r="B40" s="243" t="s">
        <v>165</v>
      </c>
      <c r="C40" s="224" t="s">
        <v>166</v>
      </c>
      <c r="D40" s="297"/>
      <c r="E40" s="298"/>
      <c r="F40" s="299"/>
      <c r="G40" s="327"/>
      <c r="H40" s="328"/>
      <c r="I40" s="282"/>
      <c r="J40" s="283"/>
      <c r="K40" s="283"/>
      <c r="L40" s="283"/>
      <c r="M40" s="302"/>
    </row>
    <row r="41" spans="1:13" s="267" customFormat="1" ht="12.75" x14ac:dyDescent="0.2">
      <c r="A41" s="315" t="s">
        <v>637</v>
      </c>
      <c r="B41" s="239" t="s">
        <v>733</v>
      </c>
      <c r="C41" s="303" t="s">
        <v>734</v>
      </c>
      <c r="D41" s="304" t="s">
        <v>175</v>
      </c>
      <c r="E41" s="306">
        <v>15</v>
      </c>
      <c r="F41" s="318">
        <f>650*1.15</f>
        <v>747.49999999999989</v>
      </c>
      <c r="G41" s="316">
        <f>E41*F41</f>
        <v>11212.499999999998</v>
      </c>
      <c r="H41" s="301" t="s">
        <v>728</v>
      </c>
      <c r="I41" s="282"/>
      <c r="J41" s="283"/>
      <c r="K41" s="283"/>
      <c r="L41" s="283"/>
      <c r="M41" s="302"/>
    </row>
    <row r="42" spans="1:13" s="267" customFormat="1" ht="12.75" x14ac:dyDescent="0.2">
      <c r="A42" s="315"/>
      <c r="B42" s="239"/>
      <c r="C42" s="309"/>
      <c r="D42" s="304"/>
      <c r="E42" s="311"/>
      <c r="F42" s="306"/>
      <c r="G42" s="316"/>
      <c r="H42" s="301"/>
      <c r="I42" s="282"/>
      <c r="J42" s="283"/>
      <c r="K42" s="283"/>
      <c r="L42" s="317"/>
      <c r="M42" s="302"/>
    </row>
    <row r="43" spans="1:13" s="267" customFormat="1" ht="12.75" x14ac:dyDescent="0.2">
      <c r="A43" s="329"/>
      <c r="B43" s="234" t="s">
        <v>81</v>
      </c>
      <c r="C43" s="330" t="str">
        <f>C40</f>
        <v>Zdravotechnická instalace</v>
      </c>
      <c r="D43" s="329"/>
      <c r="E43" s="325"/>
      <c r="F43" s="331"/>
      <c r="G43" s="332">
        <f>SUM(G41:G41)</f>
        <v>11212.499999999998</v>
      </c>
      <c r="H43" s="333"/>
      <c r="I43" s="334"/>
      <c r="J43" s="283"/>
      <c r="K43" s="283"/>
      <c r="L43" s="283"/>
      <c r="M43" s="302"/>
    </row>
    <row r="44" spans="1:13" s="267" customFormat="1" x14ac:dyDescent="0.2">
      <c r="A44" s="294" t="s">
        <v>58</v>
      </c>
      <c r="B44" s="243" t="s">
        <v>161</v>
      </c>
      <c r="C44" s="296" t="s">
        <v>162</v>
      </c>
      <c r="D44" s="297"/>
      <c r="E44" s="298"/>
      <c r="F44" s="299">
        <v>0</v>
      </c>
      <c r="G44" s="327"/>
      <c r="H44" s="328"/>
      <c r="I44" s="282"/>
      <c r="J44" s="283"/>
      <c r="K44" s="283"/>
      <c r="L44" s="283"/>
      <c r="M44" s="302"/>
    </row>
    <row r="45" spans="1:13" s="267" customFormat="1" ht="29.25" customHeight="1" x14ac:dyDescent="0.2">
      <c r="A45" s="315">
        <v>25</v>
      </c>
      <c r="B45" s="239" t="s">
        <v>163</v>
      </c>
      <c r="C45" s="303" t="s">
        <v>164</v>
      </c>
      <c r="D45" s="304" t="s">
        <v>152</v>
      </c>
      <c r="E45" s="318">
        <v>0.8027200000000001</v>
      </c>
      <c r="F45" s="318">
        <v>880</v>
      </c>
      <c r="G45" s="316">
        <f>E45*F45</f>
        <v>706.39360000000011</v>
      </c>
      <c r="H45" s="301" t="s">
        <v>645</v>
      </c>
      <c r="I45" s="282"/>
      <c r="J45" s="283"/>
      <c r="K45" s="283"/>
      <c r="L45" s="283"/>
      <c r="M45" s="302"/>
    </row>
    <row r="46" spans="1:13" s="267" customFormat="1" ht="12.75" x14ac:dyDescent="0.2">
      <c r="A46" s="329"/>
      <c r="B46" s="234" t="s">
        <v>81</v>
      </c>
      <c r="C46" s="330" t="str">
        <f>C44</f>
        <v>Staveništní přesun hmot</v>
      </c>
      <c r="D46" s="329"/>
      <c r="E46" s="325"/>
      <c r="F46" s="331"/>
      <c r="G46" s="332">
        <f>SUM(G45:G45)</f>
        <v>706.39360000000011</v>
      </c>
      <c r="H46" s="333"/>
      <c r="I46" s="334"/>
      <c r="J46" s="283"/>
      <c r="K46" s="283"/>
      <c r="L46" s="283"/>
      <c r="M46" s="302"/>
    </row>
    <row r="47" spans="1:13" s="267" customFormat="1" x14ac:dyDescent="0.2">
      <c r="A47" s="294" t="s">
        <v>58</v>
      </c>
      <c r="B47" s="243" t="s">
        <v>196</v>
      </c>
      <c r="C47" s="296" t="s">
        <v>197</v>
      </c>
      <c r="D47" s="297"/>
      <c r="E47" s="298"/>
      <c r="F47" s="299"/>
      <c r="G47" s="300"/>
      <c r="H47" s="328"/>
      <c r="I47" s="282"/>
      <c r="J47" s="283"/>
      <c r="K47" s="283"/>
      <c r="L47" s="283"/>
      <c r="M47" s="302"/>
    </row>
    <row r="48" spans="1:13" s="267" customFormat="1" ht="12.75" x14ac:dyDescent="0.2">
      <c r="A48" s="297" t="s">
        <v>637</v>
      </c>
      <c r="B48" s="239" t="s">
        <v>735</v>
      </c>
      <c r="C48" s="335" t="s">
        <v>736</v>
      </c>
      <c r="D48" s="304" t="s">
        <v>135</v>
      </c>
      <c r="E48" s="306">
        <v>1</v>
      </c>
      <c r="F48" s="306">
        <f>12600*1.15</f>
        <v>14489.999999999998</v>
      </c>
      <c r="G48" s="316">
        <f>E48*F48</f>
        <v>14489.999999999998</v>
      </c>
      <c r="H48" s="301" t="s">
        <v>728</v>
      </c>
      <c r="I48" s="282"/>
      <c r="J48" s="283"/>
      <c r="K48" s="283"/>
      <c r="L48" s="283"/>
      <c r="M48" s="302"/>
    </row>
    <row r="49" spans="1:13" s="267" customFormat="1" ht="12.75" x14ac:dyDescent="0.2">
      <c r="A49" s="297" t="s">
        <v>637</v>
      </c>
      <c r="B49" s="239" t="s">
        <v>737</v>
      </c>
      <c r="C49" s="335" t="s">
        <v>738</v>
      </c>
      <c r="D49" s="304" t="s">
        <v>135</v>
      </c>
      <c r="E49" s="306">
        <v>1</v>
      </c>
      <c r="F49" s="306">
        <f>9735*1.15</f>
        <v>11195.25</v>
      </c>
      <c r="G49" s="316">
        <f>E49*F49</f>
        <v>11195.25</v>
      </c>
      <c r="H49" s="301" t="s">
        <v>728</v>
      </c>
      <c r="I49" s="282"/>
      <c r="J49" s="283"/>
      <c r="K49" s="283"/>
      <c r="L49" s="283"/>
      <c r="M49" s="302"/>
    </row>
    <row r="50" spans="1:13" s="267" customFormat="1" ht="12.75" x14ac:dyDescent="0.2">
      <c r="A50" s="329"/>
      <c r="B50" s="336" t="s">
        <v>81</v>
      </c>
      <c r="C50" s="330" t="s">
        <v>197</v>
      </c>
      <c r="D50" s="329"/>
      <c r="E50" s="325"/>
      <c r="F50" s="331"/>
      <c r="G50" s="332">
        <f>SUM(G47:G49)</f>
        <v>25685.25</v>
      </c>
      <c r="H50" s="333"/>
      <c r="I50" s="334"/>
      <c r="J50" s="283"/>
      <c r="K50" s="283"/>
      <c r="L50" s="283"/>
      <c r="M50" s="302"/>
    </row>
    <row r="51" spans="1:13" s="267" customFormat="1" ht="12.75" x14ac:dyDescent="0.2">
      <c r="A51" s="294" t="s">
        <v>58</v>
      </c>
      <c r="B51" s="225" t="s">
        <v>241</v>
      </c>
      <c r="C51" s="224" t="s">
        <v>242</v>
      </c>
      <c r="D51" s="337"/>
      <c r="E51" s="338"/>
      <c r="F51" s="338"/>
      <c r="G51" s="339"/>
      <c r="H51" s="321"/>
      <c r="I51" s="282"/>
      <c r="J51" s="283"/>
      <c r="K51" s="283"/>
      <c r="L51" s="283"/>
      <c r="M51" s="302"/>
    </row>
    <row r="52" spans="1:13" s="267" customFormat="1" ht="22.5" x14ac:dyDescent="0.2">
      <c r="A52" s="219">
        <v>56</v>
      </c>
      <c r="B52" s="218" t="s">
        <v>243</v>
      </c>
      <c r="C52" s="217" t="s">
        <v>244</v>
      </c>
      <c r="D52" s="216" t="s">
        <v>135</v>
      </c>
      <c r="E52" s="215">
        <v>1</v>
      </c>
      <c r="F52" s="215">
        <f>'[5]SIL - 1.NP ZL č.3'!F24</f>
        <v>13703.56</v>
      </c>
      <c r="G52" s="307">
        <f t="shared" ref="G52" si="3">E52*F52</f>
        <v>13703.56</v>
      </c>
      <c r="H52" s="301" t="s">
        <v>739</v>
      </c>
      <c r="I52" s="282"/>
      <c r="J52" s="283"/>
      <c r="K52" s="302"/>
      <c r="L52" s="282"/>
      <c r="M52" s="302"/>
    </row>
    <row r="53" spans="1:13" s="267" customFormat="1" ht="12.75" x14ac:dyDescent="0.2">
      <c r="A53" s="329"/>
      <c r="B53" s="336" t="s">
        <v>81</v>
      </c>
      <c r="C53" s="324" t="str">
        <f>C51</f>
        <v>Elektromontáže+akustika+audioviz. technika</v>
      </c>
      <c r="D53" s="329"/>
      <c r="E53" s="325"/>
      <c r="F53" s="331"/>
      <c r="G53" s="332">
        <f>SUM(G51:G52)</f>
        <v>13703.56</v>
      </c>
      <c r="H53" s="333"/>
      <c r="I53" s="334"/>
      <c r="J53" s="283"/>
      <c r="K53" s="283"/>
      <c r="L53" s="283"/>
      <c r="M53" s="302"/>
    </row>
    <row r="55" spans="1:13" x14ac:dyDescent="0.2">
      <c r="A55" s="340"/>
      <c r="B55" s="341" t="s">
        <v>81</v>
      </c>
      <c r="C55" s="342"/>
      <c r="D55" s="340"/>
      <c r="E55" s="343"/>
      <c r="F55" s="344"/>
      <c r="G55" s="345">
        <f>G53+G50+G46+G35+G32+G43+G39</f>
        <v>145159.20360000001</v>
      </c>
    </row>
    <row r="59" spans="1:13" x14ac:dyDescent="0.2">
      <c r="J59" s="346"/>
      <c r="K59" s="347"/>
      <c r="M59" s="348"/>
    </row>
    <row r="60" spans="1:13" x14ac:dyDescent="0.2">
      <c r="J60" s="349"/>
      <c r="K60" s="350"/>
    </row>
    <row r="61" spans="1:13" x14ac:dyDescent="0.2">
      <c r="J61" s="349"/>
      <c r="K61" s="350"/>
    </row>
    <row r="62" spans="1:13" x14ac:dyDescent="0.2">
      <c r="K62" s="350"/>
    </row>
    <row r="64" spans="1:13" x14ac:dyDescent="0.2">
      <c r="K64" s="350"/>
    </row>
    <row r="66" spans="11:12" x14ac:dyDescent="0.2">
      <c r="K66" s="349"/>
      <c r="L66" s="348"/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7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69" t="s">
        <v>50</v>
      </c>
      <c r="B1" s="369"/>
      <c r="C1" s="369"/>
      <c r="D1" s="369"/>
      <c r="E1" s="369"/>
      <c r="F1" s="369"/>
      <c r="G1" s="369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362" t="s">
        <v>4</v>
      </c>
      <c r="B3" s="363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19</v>
      </c>
    </row>
    <row r="4" spans="1:10" ht="13.5" thickBot="1" x14ac:dyDescent="0.25">
      <c r="A4" s="370" t="s">
        <v>1</v>
      </c>
      <c r="B4" s="365"/>
      <c r="C4" s="58" t="str">
        <f>CONCATENATE(cisloobjektu," ",nazevobjektu)</f>
        <v xml:space="preserve"> FF UK OSIP PRAHA 1, NÁM. JANA PALACHA 2</v>
      </c>
      <c r="D4" s="59"/>
      <c r="E4" s="371"/>
      <c r="F4" s="371"/>
      <c r="G4" s="372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x14ac:dyDescent="0.2">
      <c r="A8" s="96">
        <v>1</v>
      </c>
      <c r="B8" s="120" t="s">
        <v>61</v>
      </c>
      <c r="C8" s="98" t="s">
        <v>257</v>
      </c>
      <c r="D8" s="99" t="s">
        <v>63</v>
      </c>
      <c r="E8" s="109">
        <f>SUM(E9:E10)</f>
        <v>44.89</v>
      </c>
      <c r="F8" s="109">
        <v>770</v>
      </c>
      <c r="G8" s="101">
        <f t="shared" ref="G8:G11" si="0">E8*F8</f>
        <v>34565.300000000003</v>
      </c>
      <c r="I8" s="114"/>
      <c r="J8" s="111"/>
    </row>
    <row r="9" spans="1:10" x14ac:dyDescent="0.2">
      <c r="A9" s="96"/>
      <c r="B9" s="120"/>
      <c r="C9" s="124" t="s">
        <v>258</v>
      </c>
      <c r="D9" s="125"/>
      <c r="E9" s="126">
        <f>3*6.7</f>
        <v>20.100000000000001</v>
      </c>
      <c r="F9" s="109"/>
      <c r="G9" s="101"/>
      <c r="I9" s="114"/>
      <c r="J9" s="111"/>
    </row>
    <row r="10" spans="1:10" x14ac:dyDescent="0.2">
      <c r="A10" s="96"/>
      <c r="B10" s="120"/>
      <c r="C10" s="124" t="s">
        <v>259</v>
      </c>
      <c r="D10" s="125"/>
      <c r="E10" s="126">
        <f>3.7*6.7</f>
        <v>24.790000000000003</v>
      </c>
      <c r="F10" s="109"/>
      <c r="G10" s="101"/>
      <c r="I10" s="114"/>
      <c r="J10" s="111"/>
    </row>
    <row r="11" spans="1:10" ht="33.75" x14ac:dyDescent="0.2">
      <c r="A11" s="93">
        <v>2</v>
      </c>
      <c r="B11" s="120" t="s">
        <v>68</v>
      </c>
      <c r="C11" s="148" t="s">
        <v>260</v>
      </c>
      <c r="D11" s="99" t="s">
        <v>76</v>
      </c>
      <c r="E11" s="109">
        <v>1</v>
      </c>
      <c r="F11" s="109">
        <v>1500</v>
      </c>
      <c r="G11" s="101">
        <f t="shared" si="0"/>
        <v>1500</v>
      </c>
      <c r="I11" s="114"/>
      <c r="J11" s="111"/>
    </row>
    <row r="12" spans="1:10" x14ac:dyDescent="0.2">
      <c r="A12" s="102"/>
      <c r="B12" s="121" t="s">
        <v>81</v>
      </c>
      <c r="C12" s="104" t="str">
        <f>CONCATENATE(B7," ",C7)</f>
        <v>4 Vodorovné konstukce</v>
      </c>
      <c r="D12" s="102"/>
      <c r="E12" s="118"/>
      <c r="F12" s="105"/>
      <c r="G12" s="106">
        <f>SUM(G7:G11)</f>
        <v>36065.300000000003</v>
      </c>
      <c r="I12" s="114"/>
      <c r="J12" s="111"/>
    </row>
    <row r="13" spans="1:10" x14ac:dyDescent="0.2">
      <c r="A13" s="90" t="s">
        <v>58</v>
      </c>
      <c r="B13" s="119" t="s">
        <v>82</v>
      </c>
      <c r="C13" s="92" t="s">
        <v>83</v>
      </c>
      <c r="D13" s="93"/>
      <c r="E13" s="117"/>
      <c r="F13" s="94"/>
      <c r="G13" s="95"/>
      <c r="I13" s="112"/>
      <c r="J13" s="111"/>
    </row>
    <row r="14" spans="1:10" x14ac:dyDescent="0.2">
      <c r="A14" s="96">
        <v>3</v>
      </c>
      <c r="B14" s="120" t="s">
        <v>84</v>
      </c>
      <c r="C14" s="98" t="s">
        <v>85</v>
      </c>
      <c r="D14" s="99" t="s">
        <v>86</v>
      </c>
      <c r="E14" s="109">
        <f>SUM(E15:E17)</f>
        <v>68.199999999999989</v>
      </c>
      <c r="F14" s="100">
        <v>95</v>
      </c>
      <c r="G14" s="101">
        <f t="shared" ref="G14:G26" si="1">E14*F14</f>
        <v>6478.9999999999991</v>
      </c>
      <c r="H14" s="136"/>
      <c r="I14" s="113"/>
      <c r="J14" s="111"/>
    </row>
    <row r="15" spans="1:10" x14ac:dyDescent="0.2">
      <c r="A15" s="96"/>
      <c r="B15" s="120"/>
      <c r="C15" s="124" t="s">
        <v>261</v>
      </c>
      <c r="D15" s="125"/>
      <c r="E15" s="126">
        <f>1.3+2.3*2+1.9+3.1*2+1*2</f>
        <v>16</v>
      </c>
      <c r="F15" s="100"/>
      <c r="G15" s="101"/>
      <c r="I15" s="113"/>
      <c r="J15" s="111"/>
    </row>
    <row r="16" spans="1:10" x14ac:dyDescent="0.2">
      <c r="A16" s="96"/>
      <c r="B16" s="120"/>
      <c r="C16" s="124" t="s">
        <v>262</v>
      </c>
      <c r="D16" s="125"/>
      <c r="E16" s="126">
        <f>1.3+2.3*2+1.9+3.1*2+1*2</f>
        <v>16</v>
      </c>
      <c r="F16" s="100"/>
      <c r="G16" s="101"/>
      <c r="I16" s="113"/>
      <c r="J16" s="111"/>
    </row>
    <row r="17" spans="1:10" x14ac:dyDescent="0.2">
      <c r="A17" s="96"/>
      <c r="B17" s="120"/>
      <c r="C17" s="124" t="s">
        <v>263</v>
      </c>
      <c r="D17" s="125"/>
      <c r="E17" s="126">
        <f>1.3+2.3*2+(1.9+3.1*2)*3+(1*2)*3</f>
        <v>36.199999999999996</v>
      </c>
      <c r="F17" s="100"/>
      <c r="G17" s="101"/>
      <c r="I17" s="113"/>
      <c r="J17" s="111"/>
    </row>
    <row r="18" spans="1:10" ht="22.5" x14ac:dyDescent="0.2">
      <c r="A18" s="96">
        <v>4</v>
      </c>
      <c r="B18" s="97" t="s">
        <v>91</v>
      </c>
      <c r="C18" s="98" t="s">
        <v>92</v>
      </c>
      <c r="D18" s="99" t="s">
        <v>63</v>
      </c>
      <c r="E18" s="109">
        <f>SUM(E19:E21)</f>
        <v>348.77</v>
      </c>
      <c r="F18" s="100">
        <v>260</v>
      </c>
      <c r="G18" s="101">
        <f t="shared" si="1"/>
        <v>90680.2</v>
      </c>
      <c r="H18" s="138"/>
      <c r="I18" s="113"/>
      <c r="J18" s="111"/>
    </row>
    <row r="19" spans="1:10" x14ac:dyDescent="0.2">
      <c r="A19" s="96"/>
      <c r="B19" s="97"/>
      <c r="C19" s="124" t="s">
        <v>264</v>
      </c>
      <c r="D19" s="125"/>
      <c r="E19" s="126">
        <f>(6.7+6.7+3+3)*4.3+(1.9*0.5+3.1*0.5*2)</f>
        <v>87.469999999999985</v>
      </c>
      <c r="F19" s="100"/>
      <c r="G19" s="101"/>
      <c r="H19" s="116"/>
      <c r="I19" s="113"/>
      <c r="J19" s="111"/>
    </row>
    <row r="20" spans="1:10" x14ac:dyDescent="0.2">
      <c r="A20" s="96"/>
      <c r="B20" s="97"/>
      <c r="C20" s="124" t="s">
        <v>265</v>
      </c>
      <c r="D20" s="125"/>
      <c r="E20" s="126">
        <f>(6.7+6.7+3.7+3.7)*4.3+(1.9*0.5+3.1*0.5*2)</f>
        <v>93.49</v>
      </c>
      <c r="F20" s="100"/>
      <c r="G20" s="101"/>
      <c r="H20" s="116"/>
      <c r="I20" s="113"/>
      <c r="J20" s="111"/>
    </row>
    <row r="21" spans="1:10" x14ac:dyDescent="0.2">
      <c r="A21" s="96"/>
      <c r="B21" s="97"/>
      <c r="C21" s="124" t="s">
        <v>266</v>
      </c>
      <c r="D21" s="125"/>
      <c r="E21" s="126">
        <f>(6.7+6.7+11.4+11.4)*4.3+(1.9*0.5+3.1*0.5*2)*3</f>
        <v>167.81</v>
      </c>
      <c r="F21" s="100"/>
      <c r="G21" s="101"/>
      <c r="H21" s="116"/>
      <c r="I21" s="113"/>
      <c r="J21" s="111"/>
    </row>
    <row r="22" spans="1:10" x14ac:dyDescent="0.2">
      <c r="A22" s="96">
        <v>5</v>
      </c>
      <c r="B22" s="120" t="s">
        <v>97</v>
      </c>
      <c r="C22" s="98" t="s">
        <v>98</v>
      </c>
      <c r="D22" s="99" t="s">
        <v>63</v>
      </c>
      <c r="E22" s="109">
        <f>SUM(E23:E25)</f>
        <v>20.349999999999998</v>
      </c>
      <c r="F22" s="100">
        <v>190</v>
      </c>
      <c r="G22" s="101">
        <f t="shared" ref="G22" si="2">E22*F22</f>
        <v>3866.4999999999995</v>
      </c>
      <c r="H22" s="138"/>
      <c r="I22" s="113"/>
      <c r="J22" s="111"/>
    </row>
    <row r="23" spans="1:10" x14ac:dyDescent="0.2">
      <c r="A23" s="96"/>
      <c r="B23" s="97"/>
      <c r="C23" s="124" t="s">
        <v>267</v>
      </c>
      <c r="D23" s="125"/>
      <c r="E23" s="126">
        <f>1.9*1.3+2*2</f>
        <v>6.47</v>
      </c>
      <c r="F23" s="100"/>
      <c r="G23" s="101"/>
      <c r="H23" s="116"/>
      <c r="I23" s="113"/>
      <c r="J23" s="111"/>
    </row>
    <row r="24" spans="1:10" x14ac:dyDescent="0.2">
      <c r="A24" s="96"/>
      <c r="B24" s="97"/>
      <c r="C24" s="124" t="s">
        <v>268</v>
      </c>
      <c r="D24" s="125"/>
      <c r="E24" s="126">
        <f>1.9*1.3+2*2</f>
        <v>6.47</v>
      </c>
      <c r="F24" s="100"/>
      <c r="G24" s="101"/>
      <c r="H24" s="116"/>
      <c r="I24" s="113"/>
      <c r="J24" s="111"/>
    </row>
    <row r="25" spans="1:10" x14ac:dyDescent="0.2">
      <c r="A25" s="96"/>
      <c r="B25" s="97"/>
      <c r="C25" s="124" t="s">
        <v>269</v>
      </c>
      <c r="D25" s="125"/>
      <c r="E25" s="126">
        <f>1.9*1.3*3</f>
        <v>7.4099999999999993</v>
      </c>
      <c r="F25" s="100"/>
      <c r="G25" s="101"/>
      <c r="H25" s="116"/>
      <c r="I25" s="113"/>
      <c r="J25" s="111"/>
    </row>
    <row r="26" spans="1:10" x14ac:dyDescent="0.2">
      <c r="A26" s="96">
        <v>6</v>
      </c>
      <c r="B26" s="120" t="s">
        <v>105</v>
      </c>
      <c r="C26" s="98" t="s">
        <v>106</v>
      </c>
      <c r="D26" s="99" t="s">
        <v>63</v>
      </c>
      <c r="E26" s="109">
        <f>SUM(E27:E29)</f>
        <v>37.887500000000003</v>
      </c>
      <c r="F26" s="100">
        <v>15</v>
      </c>
      <c r="G26" s="101">
        <f t="shared" si="1"/>
        <v>568.3125</v>
      </c>
      <c r="I26" s="113"/>
      <c r="J26" s="111"/>
    </row>
    <row r="27" spans="1:10" x14ac:dyDescent="0.2">
      <c r="A27" s="96"/>
      <c r="B27" s="120"/>
      <c r="C27" s="124" t="s">
        <v>270</v>
      </c>
      <c r="D27" s="125"/>
      <c r="E27" s="126">
        <f>1.25*2.25+1.9*3.1</f>
        <v>8.7025000000000006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271</v>
      </c>
      <c r="D28" s="125"/>
      <c r="E28" s="126">
        <f>1.25*2.25+1.9*3.1</f>
        <v>8.7025000000000006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272</v>
      </c>
      <c r="D29" s="125"/>
      <c r="E29" s="126">
        <f>1.25*2.25+1.9*3.1*3</f>
        <v>20.482499999999998</v>
      </c>
      <c r="F29" s="100"/>
      <c r="G29" s="101"/>
      <c r="I29" s="113"/>
      <c r="J29" s="111"/>
    </row>
    <row r="30" spans="1:10" x14ac:dyDescent="0.2">
      <c r="A30" s="102"/>
      <c r="B30" s="121" t="s">
        <v>81</v>
      </c>
      <c r="C30" s="104" t="str">
        <f>CONCATENATE(B13," ",C13)</f>
        <v>61 Upravy povrchů vnitřní</v>
      </c>
      <c r="D30" s="102"/>
      <c r="E30" s="118"/>
      <c r="F30" s="105"/>
      <c r="G30" s="106">
        <f>SUM(G13:G29)</f>
        <v>101594.0125</v>
      </c>
      <c r="I30" s="114"/>
      <c r="J30" s="111"/>
    </row>
    <row r="31" spans="1:10" x14ac:dyDescent="0.2">
      <c r="A31" s="90" t="s">
        <v>58</v>
      </c>
      <c r="B31" s="119" t="s">
        <v>111</v>
      </c>
      <c r="C31" s="92" t="s">
        <v>112</v>
      </c>
      <c r="D31" s="93"/>
      <c r="E31" s="117"/>
      <c r="F31" s="94"/>
      <c r="G31" s="95"/>
      <c r="H31" s="115"/>
      <c r="I31" s="112"/>
      <c r="J31" s="111"/>
    </row>
    <row r="32" spans="1:10" ht="50.1" customHeight="1" x14ac:dyDescent="0.2">
      <c r="A32" s="96">
        <v>7</v>
      </c>
      <c r="B32" s="120" t="s">
        <v>113</v>
      </c>
      <c r="C32" s="107" t="s">
        <v>273</v>
      </c>
      <c r="D32" s="99" t="s">
        <v>76</v>
      </c>
      <c r="E32" s="109">
        <f>SUM(E33:E35)</f>
        <v>3</v>
      </c>
      <c r="F32" s="109">
        <v>35400</v>
      </c>
      <c r="G32" s="101">
        <f t="shared" ref="G32" si="3">E32*F32</f>
        <v>106200</v>
      </c>
      <c r="H32" s="115"/>
      <c r="I32" s="113"/>
      <c r="J32" s="111"/>
    </row>
    <row r="33" spans="1:10" ht="12.75" customHeight="1" x14ac:dyDescent="0.2">
      <c r="A33" s="96"/>
      <c r="B33" s="120"/>
      <c r="C33" s="124" t="s">
        <v>274</v>
      </c>
      <c r="D33" s="125"/>
      <c r="E33" s="126">
        <v>1</v>
      </c>
      <c r="F33" s="109"/>
      <c r="G33" s="101"/>
      <c r="H33" s="115"/>
      <c r="I33" s="113"/>
      <c r="J33" s="111"/>
    </row>
    <row r="34" spans="1:10" ht="12.75" customHeight="1" x14ac:dyDescent="0.2">
      <c r="A34" s="96"/>
      <c r="B34" s="120"/>
      <c r="C34" s="124" t="s">
        <v>275</v>
      </c>
      <c r="D34" s="125"/>
      <c r="E34" s="126">
        <v>1</v>
      </c>
      <c r="F34" s="109"/>
      <c r="G34" s="101"/>
      <c r="H34" s="115"/>
      <c r="I34" s="113"/>
      <c r="J34" s="111"/>
    </row>
    <row r="35" spans="1:10" ht="12.75" customHeight="1" x14ac:dyDescent="0.2">
      <c r="A35" s="96"/>
      <c r="B35" s="120"/>
      <c r="C35" s="124" t="s">
        <v>276</v>
      </c>
      <c r="D35" s="125"/>
      <c r="E35" s="126">
        <v>1</v>
      </c>
      <c r="F35" s="109"/>
      <c r="G35" s="101"/>
      <c r="H35" s="115"/>
      <c r="I35" s="113"/>
      <c r="J35" s="111"/>
    </row>
    <row r="36" spans="1:10" ht="22.5" customHeight="1" x14ac:dyDescent="0.2">
      <c r="A36" s="96">
        <v>8</v>
      </c>
      <c r="B36" s="120" t="s">
        <v>119</v>
      </c>
      <c r="C36" s="107" t="s">
        <v>277</v>
      </c>
      <c r="D36" s="99" t="s">
        <v>76</v>
      </c>
      <c r="E36" s="109">
        <f>E37</f>
        <v>1</v>
      </c>
      <c r="F36" s="109">
        <v>15000</v>
      </c>
      <c r="G36" s="101">
        <f t="shared" ref="G36:G42" si="4">E36*F36</f>
        <v>15000</v>
      </c>
      <c r="H36" s="115"/>
      <c r="I36" s="113"/>
      <c r="J36" s="111"/>
    </row>
    <row r="37" spans="1:10" ht="12.75" customHeight="1" x14ac:dyDescent="0.2">
      <c r="A37" s="96"/>
      <c r="B37" s="120"/>
      <c r="C37" s="124" t="s">
        <v>276</v>
      </c>
      <c r="D37" s="125"/>
      <c r="E37" s="126">
        <v>1</v>
      </c>
      <c r="F37" s="109"/>
      <c r="G37" s="101"/>
      <c r="H37" s="115"/>
      <c r="I37" s="113"/>
      <c r="J37" s="111"/>
    </row>
    <row r="38" spans="1:10" ht="22.5" x14ac:dyDescent="0.2">
      <c r="A38" s="96">
        <v>9</v>
      </c>
      <c r="B38" s="120" t="s">
        <v>121</v>
      </c>
      <c r="C38" s="107" t="s">
        <v>124</v>
      </c>
      <c r="D38" s="99" t="s">
        <v>63</v>
      </c>
      <c r="E38" s="109">
        <f>SUM(E39:E41)</f>
        <v>37.400000000000006</v>
      </c>
      <c r="F38" s="109">
        <v>686</v>
      </c>
      <c r="G38" s="101">
        <f t="shared" si="4"/>
        <v>25656.400000000005</v>
      </c>
      <c r="H38" s="137"/>
      <c r="I38" s="113"/>
      <c r="J38" s="111"/>
    </row>
    <row r="39" spans="1:10" x14ac:dyDescent="0.2">
      <c r="A39" s="96"/>
      <c r="B39" s="120"/>
      <c r="C39" s="124" t="s">
        <v>278</v>
      </c>
      <c r="D39" s="125"/>
      <c r="E39" s="126">
        <f>2.2*3.4</f>
        <v>7.48</v>
      </c>
      <c r="F39" s="109"/>
      <c r="G39" s="101"/>
      <c r="H39" s="115"/>
      <c r="I39" s="113"/>
      <c r="J39" s="111"/>
    </row>
    <row r="40" spans="1:10" x14ac:dyDescent="0.2">
      <c r="A40" s="96"/>
      <c r="B40" s="120"/>
      <c r="C40" s="124" t="s">
        <v>279</v>
      </c>
      <c r="D40" s="125"/>
      <c r="E40" s="126">
        <f>2.2*3.4</f>
        <v>7.48</v>
      </c>
      <c r="F40" s="109"/>
      <c r="G40" s="101"/>
      <c r="H40" s="115"/>
      <c r="I40" s="113"/>
      <c r="J40" s="111"/>
    </row>
    <row r="41" spans="1:10" x14ac:dyDescent="0.2">
      <c r="A41" s="96"/>
      <c r="B41" s="120"/>
      <c r="C41" s="124" t="s">
        <v>280</v>
      </c>
      <c r="D41" s="125"/>
      <c r="E41" s="126">
        <f>2.2*3.4*3</f>
        <v>22.44</v>
      </c>
      <c r="F41" s="109"/>
      <c r="G41" s="101"/>
      <c r="H41" s="115"/>
      <c r="I41" s="113"/>
      <c r="J41" s="111"/>
    </row>
    <row r="42" spans="1:10" ht="22.5" x14ac:dyDescent="0.2">
      <c r="A42" s="96">
        <v>10</v>
      </c>
      <c r="B42" s="120" t="s">
        <v>123</v>
      </c>
      <c r="C42" s="107" t="s">
        <v>281</v>
      </c>
      <c r="D42" s="99" t="s">
        <v>63</v>
      </c>
      <c r="E42" s="109">
        <f>SUM(E43:E44)</f>
        <v>25.92</v>
      </c>
      <c r="F42" s="109">
        <v>1658</v>
      </c>
      <c r="G42" s="101">
        <f t="shared" si="4"/>
        <v>42975.360000000001</v>
      </c>
      <c r="H42" s="137"/>
      <c r="I42" s="113"/>
      <c r="J42" s="111"/>
    </row>
    <row r="43" spans="1:10" x14ac:dyDescent="0.2">
      <c r="A43" s="96"/>
      <c r="B43" s="120"/>
      <c r="C43" s="124" t="s">
        <v>282</v>
      </c>
      <c r="D43" s="125"/>
      <c r="E43" s="126">
        <f>2.4*3.6*3</f>
        <v>25.92</v>
      </c>
      <c r="F43" s="109"/>
      <c r="G43" s="101"/>
      <c r="H43" s="115"/>
      <c r="I43" s="113"/>
      <c r="J43" s="111"/>
    </row>
    <row r="44" spans="1:10" x14ac:dyDescent="0.2">
      <c r="A44" s="102"/>
      <c r="B44" s="121" t="s">
        <v>81</v>
      </c>
      <c r="C44" s="104" t="str">
        <f>CONCATENATE(B31," ",C31)</f>
        <v>64 Výplně otvorů</v>
      </c>
      <c r="D44" s="102"/>
      <c r="E44" s="118"/>
      <c r="F44" s="105"/>
      <c r="G44" s="106">
        <f>SUM(G31:G43)</f>
        <v>189831.76</v>
      </c>
      <c r="I44" s="114"/>
      <c r="J44" s="111"/>
    </row>
    <row r="45" spans="1:10" x14ac:dyDescent="0.2">
      <c r="A45" s="90" t="s">
        <v>58</v>
      </c>
      <c r="B45" s="119" t="s">
        <v>129</v>
      </c>
      <c r="C45" s="92" t="s">
        <v>130</v>
      </c>
      <c r="D45" s="93"/>
      <c r="E45" s="117"/>
      <c r="F45" s="94"/>
      <c r="G45" s="95"/>
      <c r="I45" s="112"/>
      <c r="J45" s="111"/>
    </row>
    <row r="46" spans="1:10" ht="12.75" customHeight="1" x14ac:dyDescent="0.2">
      <c r="A46" s="96">
        <v>11</v>
      </c>
      <c r="B46" s="120" t="s">
        <v>131</v>
      </c>
      <c r="C46" s="98" t="s">
        <v>132</v>
      </c>
      <c r="D46" s="99" t="s">
        <v>63</v>
      </c>
      <c r="E46" s="109">
        <f>SUM(E47:E49)</f>
        <v>121.27000000000001</v>
      </c>
      <c r="F46" s="100">
        <v>400</v>
      </c>
      <c r="G46" s="101">
        <f t="shared" ref="G46:G52" si="5">E46*F46</f>
        <v>48508.000000000007</v>
      </c>
      <c r="I46" s="113"/>
      <c r="J46" s="111"/>
    </row>
    <row r="47" spans="1:10" ht="12.75" customHeight="1" x14ac:dyDescent="0.2">
      <c r="A47" s="96"/>
      <c r="B47" s="120"/>
      <c r="C47" s="124" t="s">
        <v>258</v>
      </c>
      <c r="D47" s="125"/>
      <c r="E47" s="126">
        <f>3*6.7</f>
        <v>20.100000000000001</v>
      </c>
      <c r="F47" s="100"/>
      <c r="G47" s="101"/>
      <c r="I47" s="113"/>
      <c r="J47" s="111"/>
    </row>
    <row r="48" spans="1:10" ht="12.75" customHeight="1" x14ac:dyDescent="0.2">
      <c r="A48" s="96"/>
      <c r="B48" s="120"/>
      <c r="C48" s="124" t="s">
        <v>259</v>
      </c>
      <c r="D48" s="125"/>
      <c r="E48" s="126">
        <f>3.7*6.7</f>
        <v>24.790000000000003</v>
      </c>
      <c r="F48" s="100"/>
      <c r="G48" s="101"/>
      <c r="I48" s="113"/>
      <c r="J48" s="111"/>
    </row>
    <row r="49" spans="1:10" ht="12.75" customHeight="1" x14ac:dyDescent="0.2">
      <c r="A49" s="96"/>
      <c r="B49" s="120"/>
      <c r="C49" s="124" t="s">
        <v>283</v>
      </c>
      <c r="D49" s="125"/>
      <c r="E49" s="126">
        <f>11.4*6.7</f>
        <v>76.38000000000001</v>
      </c>
      <c r="F49" s="100"/>
      <c r="G49" s="101"/>
      <c r="I49" s="113"/>
      <c r="J49" s="111"/>
    </row>
    <row r="50" spans="1:10" ht="60" customHeight="1" x14ac:dyDescent="0.2">
      <c r="A50" s="96">
        <v>12</v>
      </c>
      <c r="B50" s="120" t="s">
        <v>133</v>
      </c>
      <c r="C50" s="98" t="s">
        <v>134</v>
      </c>
      <c r="D50" s="99" t="s">
        <v>135</v>
      </c>
      <c r="E50" s="109">
        <v>1</v>
      </c>
      <c r="F50" s="100">
        <v>54200</v>
      </c>
      <c r="G50" s="101">
        <f t="shared" ref="G50:G51" si="6">E50*F50</f>
        <v>54200</v>
      </c>
      <c r="I50" s="113"/>
      <c r="J50" s="111"/>
    </row>
    <row r="51" spans="1:10" ht="24.95" customHeight="1" x14ac:dyDescent="0.2">
      <c r="A51" s="96">
        <v>13</v>
      </c>
      <c r="B51" s="120" t="s">
        <v>136</v>
      </c>
      <c r="C51" s="98" t="s">
        <v>137</v>
      </c>
      <c r="D51" s="99" t="s">
        <v>135</v>
      </c>
      <c r="E51" s="109">
        <v>1</v>
      </c>
      <c r="F51" s="100">
        <v>157412.11200000002</v>
      </c>
      <c r="G51" s="101">
        <f t="shared" si="6"/>
        <v>157412.11200000002</v>
      </c>
      <c r="I51" s="113"/>
      <c r="J51" s="111"/>
    </row>
    <row r="52" spans="1:10" x14ac:dyDescent="0.2">
      <c r="A52" s="96">
        <v>14</v>
      </c>
      <c r="B52" s="120" t="s">
        <v>138</v>
      </c>
      <c r="C52" s="98" t="s">
        <v>139</v>
      </c>
      <c r="D52" s="99" t="s">
        <v>63</v>
      </c>
      <c r="E52" s="109">
        <f>E46</f>
        <v>121.27000000000001</v>
      </c>
      <c r="F52" s="100">
        <v>74</v>
      </c>
      <c r="G52" s="101">
        <f t="shared" si="5"/>
        <v>8973.9800000000014</v>
      </c>
      <c r="I52" s="113"/>
      <c r="J52" s="111"/>
    </row>
    <row r="53" spans="1:10" x14ac:dyDescent="0.2">
      <c r="A53" s="102"/>
      <c r="B53" s="121" t="s">
        <v>81</v>
      </c>
      <c r="C53" s="104" t="str">
        <f>CONCATENATE(B45," ",C45)</f>
        <v>9 Ostatní konstrukce a práce</v>
      </c>
      <c r="D53" s="102"/>
      <c r="E53" s="118"/>
      <c r="F53" s="105"/>
      <c r="G53" s="106">
        <f>SUM(G45:G52)</f>
        <v>269094.092</v>
      </c>
      <c r="I53" s="114"/>
      <c r="J53" s="111"/>
    </row>
    <row r="54" spans="1:10" x14ac:dyDescent="0.2">
      <c r="A54" s="90" t="s">
        <v>58</v>
      </c>
      <c r="B54" s="119" t="s">
        <v>140</v>
      </c>
      <c r="C54" s="92" t="s">
        <v>141</v>
      </c>
      <c r="D54" s="93"/>
      <c r="E54" s="117"/>
      <c r="F54" s="94"/>
      <c r="G54" s="95"/>
      <c r="I54" s="112"/>
      <c r="J54" s="111"/>
    </row>
    <row r="55" spans="1:10" x14ac:dyDescent="0.2">
      <c r="A55" s="96">
        <v>15</v>
      </c>
      <c r="B55" s="120" t="s">
        <v>142</v>
      </c>
      <c r="C55" s="98" t="s">
        <v>143</v>
      </c>
      <c r="D55" s="99" t="s">
        <v>63</v>
      </c>
      <c r="E55" s="109">
        <v>300</v>
      </c>
      <c r="F55" s="100">
        <v>50</v>
      </c>
      <c r="G55" s="101">
        <f>E55*F55</f>
        <v>15000</v>
      </c>
      <c r="I55" s="113"/>
      <c r="J55" s="111"/>
    </row>
    <row r="56" spans="1:10" x14ac:dyDescent="0.2">
      <c r="A56" s="102"/>
      <c r="B56" s="121" t="s">
        <v>81</v>
      </c>
      <c r="C56" s="104" t="str">
        <f>CONCATENATE(B54," ",C54)</f>
        <v>94 Lešení a stavební výtahy</v>
      </c>
      <c r="D56" s="102"/>
      <c r="E56" s="118"/>
      <c r="F56" s="105"/>
      <c r="G56" s="106">
        <f>SUM(G54:G55)</f>
        <v>15000</v>
      </c>
      <c r="I56" s="114"/>
      <c r="J56" s="111"/>
    </row>
    <row r="57" spans="1:10" x14ac:dyDescent="0.2">
      <c r="A57" s="90" t="s">
        <v>58</v>
      </c>
      <c r="B57" s="119" t="s">
        <v>144</v>
      </c>
      <c r="C57" s="92" t="s">
        <v>145</v>
      </c>
      <c r="D57" s="93"/>
      <c r="E57" s="117"/>
      <c r="F57" s="94"/>
      <c r="G57" s="95"/>
      <c r="I57" s="112"/>
      <c r="J57" s="111"/>
    </row>
    <row r="58" spans="1:10" x14ac:dyDescent="0.2">
      <c r="A58" s="96">
        <v>16</v>
      </c>
      <c r="B58" s="120" t="s">
        <v>146</v>
      </c>
      <c r="C58" s="98" t="s">
        <v>147</v>
      </c>
      <c r="D58" s="99" t="s">
        <v>63</v>
      </c>
      <c r="E58" s="109">
        <f>SUM(E59:E61)</f>
        <v>20.349999999999998</v>
      </c>
      <c r="F58" s="100">
        <v>75</v>
      </c>
      <c r="G58" s="101">
        <f t="shared" ref="G58:G70" si="7">E58*F58</f>
        <v>1526.2499999999998</v>
      </c>
      <c r="H58" s="136"/>
      <c r="I58" s="113"/>
      <c r="J58" s="111"/>
    </row>
    <row r="59" spans="1:10" x14ac:dyDescent="0.2">
      <c r="A59" s="96"/>
      <c r="B59" s="120"/>
      <c r="C59" s="124" t="s">
        <v>267</v>
      </c>
      <c r="D59" s="125"/>
      <c r="E59" s="126">
        <f>1.9*1.3+2*2</f>
        <v>6.47</v>
      </c>
      <c r="F59" s="100"/>
      <c r="G59" s="101"/>
      <c r="I59" s="113"/>
      <c r="J59" s="111"/>
    </row>
    <row r="60" spans="1:10" x14ac:dyDescent="0.2">
      <c r="A60" s="96"/>
      <c r="B60" s="120"/>
      <c r="C60" s="124" t="s">
        <v>268</v>
      </c>
      <c r="D60" s="125"/>
      <c r="E60" s="126">
        <f>1.9*1.3+2*2</f>
        <v>6.47</v>
      </c>
      <c r="F60" s="100"/>
      <c r="G60" s="101"/>
      <c r="I60" s="113"/>
      <c r="J60" s="111"/>
    </row>
    <row r="61" spans="1:10" x14ac:dyDescent="0.2">
      <c r="A61" s="96"/>
      <c r="B61" s="120"/>
      <c r="C61" s="124" t="s">
        <v>269</v>
      </c>
      <c r="D61" s="125"/>
      <c r="E61" s="126">
        <f>1.9*1.3*3</f>
        <v>7.4099999999999993</v>
      </c>
      <c r="F61" s="100"/>
      <c r="G61" s="101"/>
      <c r="I61" s="113"/>
      <c r="J61" s="111"/>
    </row>
    <row r="62" spans="1:10" x14ac:dyDescent="0.2">
      <c r="A62" s="96">
        <v>17</v>
      </c>
      <c r="B62" s="120" t="s">
        <v>148</v>
      </c>
      <c r="C62" s="98" t="s">
        <v>149</v>
      </c>
      <c r="D62" s="99" t="s">
        <v>63</v>
      </c>
      <c r="E62" s="109">
        <f>SUM(E63:E65)</f>
        <v>20.349999999999998</v>
      </c>
      <c r="F62" s="100">
        <v>84</v>
      </c>
      <c r="G62" s="101">
        <f t="shared" si="7"/>
        <v>1709.3999999999999</v>
      </c>
      <c r="H62" s="136"/>
      <c r="I62" s="113"/>
      <c r="J62" s="111"/>
    </row>
    <row r="63" spans="1:10" x14ac:dyDescent="0.2">
      <c r="A63" s="96"/>
      <c r="B63" s="120"/>
      <c r="C63" s="124" t="s">
        <v>267</v>
      </c>
      <c r="D63" s="125"/>
      <c r="E63" s="126">
        <f>1.9*1.3+2*2</f>
        <v>6.47</v>
      </c>
      <c r="F63" s="100"/>
      <c r="G63" s="101"/>
      <c r="I63" s="113"/>
      <c r="J63" s="111"/>
    </row>
    <row r="64" spans="1:10" x14ac:dyDescent="0.2">
      <c r="A64" s="96"/>
      <c r="B64" s="120"/>
      <c r="C64" s="124" t="s">
        <v>268</v>
      </c>
      <c r="D64" s="125"/>
      <c r="E64" s="126">
        <f>1.9*1.3+2*2</f>
        <v>6.47</v>
      </c>
      <c r="F64" s="100"/>
      <c r="G64" s="101"/>
      <c r="I64" s="113"/>
      <c r="J64" s="111"/>
    </row>
    <row r="65" spans="1:12" x14ac:dyDescent="0.2">
      <c r="A65" s="96"/>
      <c r="B65" s="120"/>
      <c r="C65" s="124" t="s">
        <v>269</v>
      </c>
      <c r="D65" s="125"/>
      <c r="E65" s="126">
        <f>1.9*1.3*3</f>
        <v>7.4099999999999993</v>
      </c>
      <c r="F65" s="100"/>
      <c r="G65" s="101"/>
      <c r="I65" s="113"/>
      <c r="J65" s="111"/>
    </row>
    <row r="66" spans="1:12" x14ac:dyDescent="0.2">
      <c r="A66" s="96">
        <v>18</v>
      </c>
      <c r="B66" s="120" t="s">
        <v>150</v>
      </c>
      <c r="C66" s="107" t="s">
        <v>151</v>
      </c>
      <c r="D66" s="110" t="s">
        <v>152</v>
      </c>
      <c r="E66" s="109">
        <v>10.199999999999999</v>
      </c>
      <c r="F66" s="109">
        <v>383</v>
      </c>
      <c r="G66" s="101">
        <f t="shared" si="7"/>
        <v>3906.6</v>
      </c>
      <c r="H66" s="116"/>
      <c r="I66" s="113"/>
      <c r="J66" s="111"/>
    </row>
    <row r="67" spans="1:12" x14ac:dyDescent="0.2">
      <c r="A67" s="96">
        <v>19</v>
      </c>
      <c r="B67" s="120" t="s">
        <v>153</v>
      </c>
      <c r="C67" s="107" t="s">
        <v>154</v>
      </c>
      <c r="D67" s="110" t="s">
        <v>152</v>
      </c>
      <c r="E67" s="109">
        <f>10.2*4</f>
        <v>40.799999999999997</v>
      </c>
      <c r="F67" s="109">
        <v>42</v>
      </c>
      <c r="G67" s="101">
        <f t="shared" si="7"/>
        <v>1713.6</v>
      </c>
      <c r="H67" s="116"/>
      <c r="I67" s="113"/>
      <c r="J67" s="111"/>
    </row>
    <row r="68" spans="1:12" x14ac:dyDescent="0.2">
      <c r="A68" s="96">
        <v>20</v>
      </c>
      <c r="B68" s="120" t="s">
        <v>155</v>
      </c>
      <c r="C68" s="107" t="s">
        <v>156</v>
      </c>
      <c r="D68" s="110" t="s">
        <v>152</v>
      </c>
      <c r="E68" s="109">
        <v>10.199999999999999</v>
      </c>
      <c r="F68" s="109">
        <v>365</v>
      </c>
      <c r="G68" s="101">
        <f t="shared" si="7"/>
        <v>3722.9999999999995</v>
      </c>
      <c r="H68" s="116"/>
      <c r="I68" s="113"/>
      <c r="J68" s="111"/>
    </row>
    <row r="69" spans="1:12" x14ac:dyDescent="0.2">
      <c r="A69" s="96">
        <v>21</v>
      </c>
      <c r="B69" s="120" t="s">
        <v>157</v>
      </c>
      <c r="C69" s="107" t="s">
        <v>158</v>
      </c>
      <c r="D69" s="110" t="s">
        <v>152</v>
      </c>
      <c r="E69" s="109">
        <f>10.2*19</f>
        <v>193.79999999999998</v>
      </c>
      <c r="F69" s="109">
        <v>14</v>
      </c>
      <c r="G69" s="101">
        <f t="shared" si="7"/>
        <v>2713.2</v>
      </c>
      <c r="H69" s="116"/>
      <c r="I69" s="113"/>
      <c r="J69" s="111"/>
    </row>
    <row r="70" spans="1:12" x14ac:dyDescent="0.2">
      <c r="A70" s="96">
        <v>22</v>
      </c>
      <c r="B70" s="120" t="s">
        <v>159</v>
      </c>
      <c r="C70" s="107" t="s">
        <v>160</v>
      </c>
      <c r="D70" s="110" t="s">
        <v>152</v>
      </c>
      <c r="E70" s="109">
        <v>10.199999999999999</v>
      </c>
      <c r="F70" s="109">
        <v>350</v>
      </c>
      <c r="G70" s="101">
        <f t="shared" si="7"/>
        <v>3569.9999999999995</v>
      </c>
      <c r="H70" s="116"/>
      <c r="I70" s="113"/>
      <c r="J70" s="111"/>
    </row>
    <row r="71" spans="1:12" x14ac:dyDescent="0.2">
      <c r="A71" s="102"/>
      <c r="B71" s="121" t="s">
        <v>81</v>
      </c>
      <c r="C71" s="140" t="str">
        <f>CONCATENATE(B57," ",C57)</f>
        <v>96 Bourání konstrukcí</v>
      </c>
      <c r="D71" s="141"/>
      <c r="E71" s="118"/>
      <c r="F71" s="118"/>
      <c r="G71" s="106">
        <f>SUM(G57:G70)</f>
        <v>18862.05</v>
      </c>
      <c r="H71" s="116"/>
      <c r="I71" s="114"/>
      <c r="J71" s="111"/>
    </row>
    <row r="72" spans="1:12" x14ac:dyDescent="0.2">
      <c r="A72" s="90" t="s">
        <v>58</v>
      </c>
      <c r="B72" s="119" t="s">
        <v>161</v>
      </c>
      <c r="C72" s="142" t="s">
        <v>162</v>
      </c>
      <c r="D72" s="143"/>
      <c r="E72" s="117"/>
      <c r="F72" s="117"/>
      <c r="G72" s="95"/>
      <c r="H72" s="116"/>
      <c r="I72" s="112"/>
      <c r="J72" s="111"/>
    </row>
    <row r="73" spans="1:12" x14ac:dyDescent="0.2">
      <c r="A73" s="96">
        <v>23</v>
      </c>
      <c r="B73" s="120" t="s">
        <v>163</v>
      </c>
      <c r="C73" s="107" t="s">
        <v>164</v>
      </c>
      <c r="D73" s="110" t="s">
        <v>152</v>
      </c>
      <c r="E73" s="109">
        <v>14.2</v>
      </c>
      <c r="F73" s="109">
        <v>880</v>
      </c>
      <c r="G73" s="101">
        <f>E73*F73</f>
        <v>12496</v>
      </c>
      <c r="H73" s="116"/>
      <c r="I73" s="113"/>
      <c r="J73" s="111"/>
    </row>
    <row r="74" spans="1:12" x14ac:dyDescent="0.2">
      <c r="A74" s="102"/>
      <c r="B74" s="121" t="s">
        <v>81</v>
      </c>
      <c r="C74" s="104" t="str">
        <f>CONCATENATE(B72," ",C72)</f>
        <v>99 Staveništní přesun hmot</v>
      </c>
      <c r="D74" s="102"/>
      <c r="E74" s="118"/>
      <c r="F74" s="105"/>
      <c r="G74" s="106">
        <f>SUM(G72:G73)</f>
        <v>12496</v>
      </c>
      <c r="I74" s="114"/>
      <c r="J74" s="111"/>
    </row>
    <row r="75" spans="1:12" x14ac:dyDescent="0.2">
      <c r="A75" s="90" t="s">
        <v>58</v>
      </c>
      <c r="B75" s="119" t="s">
        <v>165</v>
      </c>
      <c r="C75" s="92" t="s">
        <v>166</v>
      </c>
      <c r="D75" s="93"/>
      <c r="E75" s="117"/>
      <c r="F75" s="94"/>
      <c r="G75" s="95"/>
      <c r="I75" s="112"/>
      <c r="J75" s="111"/>
    </row>
    <row r="76" spans="1:12" x14ac:dyDescent="0.2">
      <c r="A76" s="96">
        <v>24</v>
      </c>
      <c r="B76" s="120" t="s">
        <v>167</v>
      </c>
      <c r="C76" s="107" t="s">
        <v>168</v>
      </c>
      <c r="D76" s="99" t="s">
        <v>76</v>
      </c>
      <c r="E76" s="109">
        <v>2</v>
      </c>
      <c r="F76" s="109">
        <v>446</v>
      </c>
      <c r="G76" s="101">
        <f>E76*F76</f>
        <v>892</v>
      </c>
      <c r="H76" s="136"/>
      <c r="I76" s="113"/>
      <c r="J76" s="111"/>
      <c r="K76" s="111"/>
      <c r="L76" s="111"/>
    </row>
    <row r="77" spans="1:12" x14ac:dyDescent="0.2">
      <c r="A77" s="96">
        <v>25</v>
      </c>
      <c r="B77" s="120" t="s">
        <v>169</v>
      </c>
      <c r="C77" s="107" t="s">
        <v>170</v>
      </c>
      <c r="D77" s="99" t="s">
        <v>76</v>
      </c>
      <c r="E77" s="109">
        <v>2</v>
      </c>
      <c r="F77" s="109">
        <v>191</v>
      </c>
      <c r="G77" s="101">
        <f t="shared" ref="G77:G79" si="8">E77*F77</f>
        <v>382</v>
      </c>
      <c r="H77" s="136"/>
      <c r="I77" s="113"/>
      <c r="J77" s="111"/>
      <c r="K77" s="111"/>
      <c r="L77" s="111"/>
    </row>
    <row r="78" spans="1:12" ht="22.5" x14ac:dyDescent="0.2">
      <c r="A78" s="96">
        <v>26</v>
      </c>
      <c r="B78" s="120" t="s">
        <v>171</v>
      </c>
      <c r="C78" s="107" t="s">
        <v>172</v>
      </c>
      <c r="D78" s="99" t="s">
        <v>135</v>
      </c>
      <c r="E78" s="109">
        <v>2</v>
      </c>
      <c r="F78" s="109">
        <v>1275</v>
      </c>
      <c r="G78" s="101">
        <f t="shared" si="8"/>
        <v>2550</v>
      </c>
      <c r="H78" s="136"/>
      <c r="I78" s="113"/>
      <c r="J78" s="111"/>
      <c r="K78" s="111"/>
      <c r="L78" s="111"/>
    </row>
    <row r="79" spans="1:12" x14ac:dyDescent="0.2">
      <c r="A79" s="96">
        <v>27</v>
      </c>
      <c r="B79" s="120" t="s">
        <v>173</v>
      </c>
      <c r="C79" s="98" t="s">
        <v>174</v>
      </c>
      <c r="D79" s="99" t="s">
        <v>175</v>
      </c>
      <c r="E79" s="109">
        <v>4.5</v>
      </c>
      <c r="F79" s="109">
        <v>500</v>
      </c>
      <c r="G79" s="101">
        <f t="shared" si="8"/>
        <v>2250</v>
      </c>
      <c r="H79" s="136"/>
      <c r="I79" s="113"/>
      <c r="J79" s="111"/>
      <c r="K79" s="111"/>
      <c r="L79" s="111"/>
    </row>
    <row r="80" spans="1:12" x14ac:dyDescent="0.2">
      <c r="A80" s="102"/>
      <c r="B80" s="121" t="s">
        <v>81</v>
      </c>
      <c r="C80" s="104" t="str">
        <f>CONCATENATE(B75," ",C75)</f>
        <v>720 Zdravotechnická instalace</v>
      </c>
      <c r="D80" s="102"/>
      <c r="E80" s="118"/>
      <c r="F80" s="105"/>
      <c r="G80" s="106">
        <f>SUM(G75:G79)</f>
        <v>6074</v>
      </c>
      <c r="I80" s="114"/>
      <c r="J80" s="114"/>
    </row>
    <row r="81" spans="1:10" x14ac:dyDescent="0.2">
      <c r="A81" s="90" t="s">
        <v>58</v>
      </c>
      <c r="B81" s="119" t="s">
        <v>176</v>
      </c>
      <c r="C81" s="92" t="s">
        <v>177</v>
      </c>
      <c r="D81" s="93"/>
      <c r="E81" s="117"/>
      <c r="F81" s="94"/>
      <c r="G81" s="95"/>
      <c r="I81" s="112"/>
      <c r="J81" s="112"/>
    </row>
    <row r="82" spans="1:10" x14ac:dyDescent="0.2">
      <c r="A82" s="96">
        <v>28</v>
      </c>
      <c r="B82" s="120" t="s">
        <v>178</v>
      </c>
      <c r="C82" s="107" t="s">
        <v>179</v>
      </c>
      <c r="D82" s="99" t="s">
        <v>76</v>
      </c>
      <c r="E82" s="109">
        <v>4</v>
      </c>
      <c r="F82" s="109">
        <v>488</v>
      </c>
      <c r="G82" s="101">
        <f>E82*F82</f>
        <v>1952</v>
      </c>
      <c r="H82" s="136"/>
      <c r="I82" s="113"/>
      <c r="J82" s="113"/>
    </row>
    <row r="83" spans="1:10" ht="22.5" x14ac:dyDescent="0.2">
      <c r="A83" s="96">
        <v>29</v>
      </c>
      <c r="B83" s="120" t="s">
        <v>180</v>
      </c>
      <c r="C83" s="107" t="s">
        <v>181</v>
      </c>
      <c r="D83" s="99" t="s">
        <v>135</v>
      </c>
      <c r="E83" s="109">
        <v>4</v>
      </c>
      <c r="F83" s="109">
        <v>825</v>
      </c>
      <c r="G83" s="101">
        <f t="shared" ref="G83:G89" si="9">E83*F83</f>
        <v>3300</v>
      </c>
      <c r="H83" s="136"/>
      <c r="I83" s="113"/>
      <c r="J83" s="111"/>
    </row>
    <row r="84" spans="1:10" ht="56.25" x14ac:dyDescent="0.2">
      <c r="A84" s="96">
        <v>30</v>
      </c>
      <c r="B84" s="120" t="s">
        <v>182</v>
      </c>
      <c r="C84" s="107" t="s">
        <v>284</v>
      </c>
      <c r="D84" s="99" t="s">
        <v>76</v>
      </c>
      <c r="E84" s="109">
        <v>1</v>
      </c>
      <c r="F84" s="109">
        <v>5816</v>
      </c>
      <c r="G84" s="101">
        <f t="shared" si="9"/>
        <v>5816</v>
      </c>
      <c r="H84" s="136"/>
      <c r="I84" s="113"/>
      <c r="J84" s="111"/>
    </row>
    <row r="85" spans="1:10" ht="56.25" x14ac:dyDescent="0.2">
      <c r="A85" s="96">
        <v>31</v>
      </c>
      <c r="B85" s="120" t="s">
        <v>184</v>
      </c>
      <c r="C85" s="107" t="s">
        <v>285</v>
      </c>
      <c r="D85" s="99" t="s">
        <v>76</v>
      </c>
      <c r="E85" s="109">
        <v>1</v>
      </c>
      <c r="F85" s="109">
        <v>6240</v>
      </c>
      <c r="G85" s="101">
        <f t="shared" si="9"/>
        <v>6240</v>
      </c>
      <c r="H85" s="136"/>
      <c r="I85" s="113"/>
      <c r="J85" s="111"/>
    </row>
    <row r="86" spans="1:10" ht="56.25" x14ac:dyDescent="0.2">
      <c r="A86" s="96">
        <v>32</v>
      </c>
      <c r="B86" s="120" t="s">
        <v>186</v>
      </c>
      <c r="C86" s="107" t="s">
        <v>286</v>
      </c>
      <c r="D86" s="99" t="s">
        <v>76</v>
      </c>
      <c r="E86" s="109">
        <v>2</v>
      </c>
      <c r="F86" s="109">
        <v>7299</v>
      </c>
      <c r="G86" s="101">
        <f t="shared" si="9"/>
        <v>14598</v>
      </c>
      <c r="H86" s="136"/>
      <c r="I86" s="113"/>
      <c r="J86" s="111"/>
    </row>
    <row r="87" spans="1:10" ht="22.5" x14ac:dyDescent="0.2">
      <c r="A87" s="96">
        <v>33</v>
      </c>
      <c r="B87" s="120" t="s">
        <v>188</v>
      </c>
      <c r="C87" s="107" t="s">
        <v>191</v>
      </c>
      <c r="D87" s="99" t="s">
        <v>135</v>
      </c>
      <c r="E87" s="109">
        <v>4</v>
      </c>
      <c r="F87" s="109">
        <v>4735</v>
      </c>
      <c r="G87" s="101">
        <f t="shared" si="9"/>
        <v>18940</v>
      </c>
      <c r="H87" s="138"/>
      <c r="I87" s="113"/>
      <c r="J87" s="111"/>
    </row>
    <row r="88" spans="1:10" x14ac:dyDescent="0.2">
      <c r="A88" s="96">
        <v>34</v>
      </c>
      <c r="B88" s="120" t="s">
        <v>190</v>
      </c>
      <c r="C88" s="107" t="s">
        <v>193</v>
      </c>
      <c r="D88" s="99" t="s">
        <v>135</v>
      </c>
      <c r="E88" s="109">
        <v>1</v>
      </c>
      <c r="F88" s="109">
        <v>2050</v>
      </c>
      <c r="G88" s="101">
        <f t="shared" si="9"/>
        <v>2050</v>
      </c>
      <c r="H88" s="138"/>
      <c r="I88" s="114"/>
      <c r="J88" s="111"/>
    </row>
    <row r="89" spans="1:10" x14ac:dyDescent="0.2">
      <c r="A89" s="96">
        <v>35</v>
      </c>
      <c r="B89" s="120" t="s">
        <v>192</v>
      </c>
      <c r="C89" s="98" t="s">
        <v>195</v>
      </c>
      <c r="D89" s="99" t="s">
        <v>175</v>
      </c>
      <c r="E89" s="109">
        <v>6</v>
      </c>
      <c r="F89" s="109">
        <v>500</v>
      </c>
      <c r="G89" s="101">
        <f t="shared" si="9"/>
        <v>3000</v>
      </c>
      <c r="H89" s="138"/>
      <c r="I89" s="114"/>
      <c r="J89" s="111"/>
    </row>
    <row r="90" spans="1:10" x14ac:dyDescent="0.2">
      <c r="A90" s="102"/>
      <c r="B90" s="121" t="s">
        <v>81</v>
      </c>
      <c r="C90" s="104" t="str">
        <f>CONCATENATE(B81," ",C81)</f>
        <v>730 Ústřední vytápění</v>
      </c>
      <c r="D90" s="102"/>
      <c r="E90" s="118"/>
      <c r="F90" s="105"/>
      <c r="G90" s="106">
        <f>SUM(G81:G89)</f>
        <v>55896</v>
      </c>
      <c r="H90" s="147"/>
      <c r="I90" s="113"/>
      <c r="J90" s="111"/>
    </row>
    <row r="91" spans="1:10" x14ac:dyDescent="0.2">
      <c r="A91" s="90" t="s">
        <v>58</v>
      </c>
      <c r="B91" s="119" t="s">
        <v>196</v>
      </c>
      <c r="C91" s="92" t="s">
        <v>197</v>
      </c>
      <c r="D91" s="93"/>
      <c r="E91" s="117"/>
      <c r="F91" s="94"/>
      <c r="G91" s="95"/>
      <c r="I91" s="114"/>
      <c r="J91" s="111"/>
    </row>
    <row r="92" spans="1:10" x14ac:dyDescent="0.2">
      <c r="A92" s="96">
        <v>36</v>
      </c>
      <c r="B92" s="120" t="s">
        <v>198</v>
      </c>
      <c r="C92" s="158" t="s">
        <v>199</v>
      </c>
      <c r="D92" s="99" t="s">
        <v>135</v>
      </c>
      <c r="E92" s="109">
        <v>1</v>
      </c>
      <c r="F92" s="109">
        <v>409200</v>
      </c>
      <c r="G92" s="101">
        <f>E92*F92</f>
        <v>409200</v>
      </c>
      <c r="I92" s="114"/>
      <c r="J92" s="111"/>
    </row>
    <row r="93" spans="1:10" x14ac:dyDescent="0.2">
      <c r="A93" s="102"/>
      <c r="B93" s="121" t="s">
        <v>81</v>
      </c>
      <c r="C93" s="104" t="str">
        <f>CONCATENATE(B91," ",C91)</f>
        <v>766 Nábytek</v>
      </c>
      <c r="D93" s="102"/>
      <c r="E93" s="118"/>
      <c r="F93" s="105"/>
      <c r="G93" s="106">
        <f>SUM(G91:G92)</f>
        <v>409200</v>
      </c>
      <c r="I93" s="114"/>
      <c r="J93" s="111"/>
    </row>
    <row r="94" spans="1:10" x14ac:dyDescent="0.2">
      <c r="A94" s="90" t="s">
        <v>58</v>
      </c>
      <c r="B94" s="119" t="s">
        <v>196</v>
      </c>
      <c r="C94" s="92" t="s">
        <v>200</v>
      </c>
      <c r="D94" s="93"/>
      <c r="E94" s="117"/>
      <c r="F94" s="94"/>
      <c r="G94" s="95"/>
      <c r="I94" s="112"/>
      <c r="J94" s="111"/>
    </row>
    <row r="95" spans="1:10" ht="33.75" x14ac:dyDescent="0.2">
      <c r="A95" s="96">
        <v>37</v>
      </c>
      <c r="B95" s="120" t="s">
        <v>198</v>
      </c>
      <c r="C95" s="107" t="s">
        <v>287</v>
      </c>
      <c r="D95" s="99" t="s">
        <v>63</v>
      </c>
      <c r="E95" s="109">
        <f>SUM(E96:E98)</f>
        <v>121.27000000000001</v>
      </c>
      <c r="F95" s="100">
        <v>800</v>
      </c>
      <c r="G95" s="101">
        <f t="shared" ref="G95" si="10">E95*F95</f>
        <v>97016.000000000015</v>
      </c>
      <c r="H95" s="116"/>
      <c r="I95" s="113"/>
      <c r="J95" s="111"/>
    </row>
    <row r="96" spans="1:10" x14ac:dyDescent="0.2">
      <c r="A96" s="96"/>
      <c r="B96" s="120"/>
      <c r="C96" s="124" t="s">
        <v>258</v>
      </c>
      <c r="D96" s="125"/>
      <c r="E96" s="126">
        <f>3*6.7</f>
        <v>20.100000000000001</v>
      </c>
      <c r="F96" s="100"/>
      <c r="G96" s="101"/>
      <c r="I96" s="113"/>
      <c r="J96" s="111"/>
    </row>
    <row r="97" spans="1:10" x14ac:dyDescent="0.2">
      <c r="A97" s="96"/>
      <c r="B97" s="120"/>
      <c r="C97" s="124" t="s">
        <v>259</v>
      </c>
      <c r="D97" s="125"/>
      <c r="E97" s="126">
        <f>3.7*6.7</f>
        <v>24.790000000000003</v>
      </c>
      <c r="F97" s="100"/>
      <c r="G97" s="101"/>
      <c r="H97" s="116"/>
      <c r="I97" s="113"/>
      <c r="J97" s="111"/>
    </row>
    <row r="98" spans="1:10" x14ac:dyDescent="0.2">
      <c r="A98" s="96"/>
      <c r="B98" s="120"/>
      <c r="C98" s="124" t="s">
        <v>283</v>
      </c>
      <c r="D98" s="125"/>
      <c r="E98" s="126">
        <f>11.4*6.7</f>
        <v>76.38000000000001</v>
      </c>
      <c r="F98" s="100"/>
      <c r="G98" s="101"/>
      <c r="H98" s="116"/>
      <c r="I98" s="113"/>
      <c r="J98" s="111"/>
    </row>
    <row r="99" spans="1:10" ht="22.5" x14ac:dyDescent="0.2">
      <c r="A99" s="96">
        <v>38</v>
      </c>
      <c r="B99" s="120" t="s">
        <v>202</v>
      </c>
      <c r="C99" s="107" t="s">
        <v>203</v>
      </c>
      <c r="D99" s="99" t="s">
        <v>86</v>
      </c>
      <c r="E99" s="109">
        <f>SUM(E100:E102)</f>
        <v>76.400000000000006</v>
      </c>
      <c r="F99" s="100">
        <v>99</v>
      </c>
      <c r="G99" s="101">
        <f t="shared" ref="G99" si="11">E99*F99</f>
        <v>7563.6</v>
      </c>
      <c r="H99" s="138"/>
      <c r="I99" s="113"/>
      <c r="J99" s="111"/>
    </row>
    <row r="100" spans="1:10" x14ac:dyDescent="0.2">
      <c r="A100" s="96"/>
      <c r="B100" s="120"/>
      <c r="C100" s="124" t="s">
        <v>288</v>
      </c>
      <c r="D100" s="125"/>
      <c r="E100" s="126">
        <f>(3+6.7)*2</f>
        <v>19.399999999999999</v>
      </c>
      <c r="F100" s="100"/>
      <c r="G100" s="101"/>
      <c r="H100" s="116"/>
      <c r="I100" s="113"/>
      <c r="J100" s="111"/>
    </row>
    <row r="101" spans="1:10" x14ac:dyDescent="0.2">
      <c r="A101" s="96"/>
      <c r="B101" s="120"/>
      <c r="C101" s="124" t="s">
        <v>289</v>
      </c>
      <c r="D101" s="125"/>
      <c r="E101" s="126">
        <f>(3.7+6.7)*2</f>
        <v>20.8</v>
      </c>
      <c r="F101" s="100"/>
      <c r="G101" s="101"/>
      <c r="H101" s="116"/>
      <c r="I101" s="113"/>
      <c r="J101" s="111"/>
    </row>
    <row r="102" spans="1:10" x14ac:dyDescent="0.2">
      <c r="A102" s="96"/>
      <c r="B102" s="120"/>
      <c r="C102" s="124" t="s">
        <v>290</v>
      </c>
      <c r="D102" s="125"/>
      <c r="E102" s="126">
        <f>(11.4+6.7)*2</f>
        <v>36.200000000000003</v>
      </c>
      <c r="F102" s="100"/>
      <c r="G102" s="101"/>
      <c r="H102" s="116"/>
      <c r="I102" s="113"/>
      <c r="J102" s="111"/>
    </row>
    <row r="103" spans="1:10" x14ac:dyDescent="0.2">
      <c r="A103" s="102"/>
      <c r="B103" s="121" t="s">
        <v>81</v>
      </c>
      <c r="C103" s="104" t="str">
        <f>CONCATENATE(B94," ",C94)</f>
        <v>766 Konstrukce truhlářské</v>
      </c>
      <c r="D103" s="102"/>
      <c r="E103" s="118"/>
      <c r="F103" s="105"/>
      <c r="G103" s="106">
        <f>SUM(G94:G102)</f>
        <v>104579.60000000002</v>
      </c>
      <c r="I103" s="114"/>
      <c r="J103" s="111"/>
    </row>
    <row r="104" spans="1:10" x14ac:dyDescent="0.2">
      <c r="A104" s="90" t="s">
        <v>58</v>
      </c>
      <c r="B104" s="119" t="s">
        <v>208</v>
      </c>
      <c r="C104" s="92" t="s">
        <v>209</v>
      </c>
      <c r="D104" s="93"/>
      <c r="E104" s="117"/>
      <c r="F104" s="94"/>
      <c r="G104" s="95"/>
      <c r="I104" s="112"/>
      <c r="J104" s="111"/>
    </row>
    <row r="105" spans="1:10" x14ac:dyDescent="0.2">
      <c r="A105" s="96">
        <v>39</v>
      </c>
      <c r="B105" s="120" t="s">
        <v>210</v>
      </c>
      <c r="C105" s="98" t="s">
        <v>291</v>
      </c>
      <c r="D105" s="99" t="s">
        <v>63</v>
      </c>
      <c r="E105" s="109">
        <f>SUM(E106:E107)</f>
        <v>101.17000000000002</v>
      </c>
      <c r="F105" s="100">
        <v>54</v>
      </c>
      <c r="G105" s="101">
        <f>E105*F105</f>
        <v>5463.1800000000012</v>
      </c>
      <c r="H105" s="116"/>
      <c r="I105" s="112"/>
      <c r="J105" s="111"/>
    </row>
    <row r="106" spans="1:10" x14ac:dyDescent="0.2">
      <c r="A106" s="96"/>
      <c r="B106" s="120"/>
      <c r="C106" s="124" t="s">
        <v>259</v>
      </c>
      <c r="D106" s="125"/>
      <c r="E106" s="126">
        <f>3.7*6.7</f>
        <v>24.790000000000003</v>
      </c>
      <c r="F106" s="100"/>
      <c r="G106" s="101"/>
      <c r="H106" s="116"/>
      <c r="I106" s="112"/>
      <c r="J106" s="111"/>
    </row>
    <row r="107" spans="1:10" x14ac:dyDescent="0.2">
      <c r="A107" s="96"/>
      <c r="B107" s="120"/>
      <c r="C107" s="124" t="s">
        <v>283</v>
      </c>
      <c r="D107" s="125"/>
      <c r="E107" s="126">
        <f>11.4*6.7</f>
        <v>76.38000000000001</v>
      </c>
      <c r="F107" s="100"/>
      <c r="G107" s="101"/>
      <c r="H107" s="116"/>
      <c r="I107" s="112"/>
      <c r="J107" s="111"/>
    </row>
    <row r="108" spans="1:10" x14ac:dyDescent="0.2">
      <c r="A108" s="102"/>
      <c r="B108" s="121" t="s">
        <v>81</v>
      </c>
      <c r="C108" s="104" t="str">
        <f>CONCATENATE(B104," ",C104)</f>
        <v>776 Podlahy povlakové</v>
      </c>
      <c r="D108" s="102"/>
      <c r="E108" s="118"/>
      <c r="F108" s="105"/>
      <c r="G108" s="106">
        <f>SUM(G104:G107)</f>
        <v>5463.1800000000012</v>
      </c>
      <c r="I108" s="114"/>
      <c r="J108" s="111"/>
    </row>
    <row r="109" spans="1:10" x14ac:dyDescent="0.2">
      <c r="A109" s="90" t="s">
        <v>58</v>
      </c>
      <c r="B109" s="119" t="s">
        <v>212</v>
      </c>
      <c r="C109" s="92" t="s">
        <v>213</v>
      </c>
      <c r="D109" s="93"/>
      <c r="E109" s="117"/>
      <c r="F109" s="94"/>
      <c r="G109" s="95"/>
      <c r="I109" s="114"/>
      <c r="J109" s="111"/>
    </row>
    <row r="110" spans="1:10" ht="33.75" x14ac:dyDescent="0.2">
      <c r="A110" s="96">
        <v>40</v>
      </c>
      <c r="B110" s="120" t="s">
        <v>214</v>
      </c>
      <c r="C110" s="98" t="s">
        <v>215</v>
      </c>
      <c r="D110" s="99" t="s">
        <v>135</v>
      </c>
      <c r="E110" s="109">
        <v>2</v>
      </c>
      <c r="F110" s="100">
        <v>375</v>
      </c>
      <c r="G110" s="101">
        <f>E110*F110</f>
        <v>750</v>
      </c>
      <c r="H110" s="136"/>
      <c r="I110" s="114"/>
      <c r="J110" s="111"/>
    </row>
    <row r="111" spans="1:10" x14ac:dyDescent="0.2">
      <c r="A111" s="96"/>
      <c r="B111" s="120"/>
      <c r="C111" s="124" t="s">
        <v>292</v>
      </c>
      <c r="D111" s="125"/>
      <c r="E111" s="126">
        <v>1</v>
      </c>
      <c r="F111" s="100"/>
      <c r="G111" s="101"/>
      <c r="I111" s="114"/>
      <c r="J111" s="111"/>
    </row>
    <row r="112" spans="1:10" x14ac:dyDescent="0.2">
      <c r="A112" s="96"/>
      <c r="B112" s="120"/>
      <c r="C112" s="124" t="s">
        <v>293</v>
      </c>
      <c r="D112" s="125"/>
      <c r="E112" s="126">
        <v>1</v>
      </c>
      <c r="F112" s="100"/>
      <c r="G112" s="101"/>
      <c r="I112" s="114"/>
      <c r="J112" s="111"/>
    </row>
    <row r="113" spans="1:10" ht="22.5" x14ac:dyDescent="0.2">
      <c r="A113" s="96">
        <v>41</v>
      </c>
      <c r="B113" s="120" t="s">
        <v>217</v>
      </c>
      <c r="C113" s="98" t="s">
        <v>218</v>
      </c>
      <c r="D113" s="99" t="s">
        <v>63</v>
      </c>
      <c r="E113" s="109">
        <f>SUM(E114:E116)</f>
        <v>12.349999999999998</v>
      </c>
      <c r="F113" s="100">
        <v>2850</v>
      </c>
      <c r="G113" s="101">
        <f>E113*F113</f>
        <v>35197.499999999993</v>
      </c>
      <c r="I113" s="114"/>
      <c r="J113" s="111"/>
    </row>
    <row r="114" spans="1:10" x14ac:dyDescent="0.2">
      <c r="A114" s="96"/>
      <c r="B114" s="120"/>
      <c r="C114" s="124" t="s">
        <v>294</v>
      </c>
      <c r="D114" s="125"/>
      <c r="E114" s="126">
        <f>1.9*1.3</f>
        <v>2.4699999999999998</v>
      </c>
      <c r="F114" s="100"/>
      <c r="G114" s="101"/>
      <c r="I114" s="114"/>
      <c r="J114" s="111"/>
    </row>
    <row r="115" spans="1:10" x14ac:dyDescent="0.2">
      <c r="A115" s="96"/>
      <c r="B115" s="120"/>
      <c r="C115" s="124" t="s">
        <v>295</v>
      </c>
      <c r="D115" s="125"/>
      <c r="E115" s="126">
        <f>1.9*1.3</f>
        <v>2.4699999999999998</v>
      </c>
      <c r="F115" s="100"/>
      <c r="G115" s="101"/>
      <c r="I115" s="114"/>
      <c r="J115" s="111"/>
    </row>
    <row r="116" spans="1:10" x14ac:dyDescent="0.2">
      <c r="A116" s="96"/>
      <c r="B116" s="120"/>
      <c r="C116" s="124" t="s">
        <v>269</v>
      </c>
      <c r="D116" s="125"/>
      <c r="E116" s="126">
        <f>1.9*1.3*3</f>
        <v>7.4099999999999993</v>
      </c>
      <c r="F116" s="100"/>
      <c r="G116" s="101"/>
      <c r="I116" s="114"/>
      <c r="J116" s="111"/>
    </row>
    <row r="117" spans="1:10" x14ac:dyDescent="0.2">
      <c r="A117" s="102"/>
      <c r="B117" s="121" t="s">
        <v>81</v>
      </c>
      <c r="C117" s="104" t="str">
        <f>CONCATENATE(B109," ",C109)</f>
        <v>781 Obklady keramické (+ koordinace u kuch. linek)</v>
      </c>
      <c r="D117" s="102"/>
      <c r="E117" s="118"/>
      <c r="F117" s="105"/>
      <c r="G117" s="106">
        <f>SUM(G109:G116)</f>
        <v>35947.499999999993</v>
      </c>
      <c r="I117" s="114"/>
      <c r="J117" s="111"/>
    </row>
    <row r="118" spans="1:10" x14ac:dyDescent="0.2">
      <c r="A118" s="90" t="s">
        <v>58</v>
      </c>
      <c r="B118" s="119" t="s">
        <v>223</v>
      </c>
      <c r="C118" s="92" t="s">
        <v>224</v>
      </c>
      <c r="D118" s="93"/>
      <c r="E118" s="117"/>
      <c r="F118" s="94"/>
      <c r="G118" s="95"/>
      <c r="I118" s="112"/>
      <c r="J118" s="111"/>
    </row>
    <row r="119" spans="1:10" ht="22.5" x14ac:dyDescent="0.2">
      <c r="A119" s="96">
        <v>42</v>
      </c>
      <c r="B119" s="120" t="s">
        <v>225</v>
      </c>
      <c r="C119" s="98" t="s">
        <v>226</v>
      </c>
      <c r="D119" s="99" t="s">
        <v>63</v>
      </c>
      <c r="E119" s="109">
        <f>SUM(E120:E122)</f>
        <v>121.27000000000001</v>
      </c>
      <c r="F119" s="100">
        <v>650</v>
      </c>
      <c r="G119" s="101">
        <f>E119*F119</f>
        <v>78825.5</v>
      </c>
      <c r="I119" s="113"/>
      <c r="J119" s="111"/>
    </row>
    <row r="120" spans="1:10" x14ac:dyDescent="0.2">
      <c r="A120" s="96"/>
      <c r="B120" s="120"/>
      <c r="C120" s="124" t="s">
        <v>258</v>
      </c>
      <c r="D120" s="125"/>
      <c r="E120" s="126">
        <f>3*6.7</f>
        <v>20.100000000000001</v>
      </c>
      <c r="F120" s="100"/>
      <c r="G120" s="101"/>
      <c r="I120" s="113"/>
      <c r="J120" s="111"/>
    </row>
    <row r="121" spans="1:10" x14ac:dyDescent="0.2">
      <c r="A121" s="96"/>
      <c r="B121" s="120"/>
      <c r="C121" s="124" t="s">
        <v>259</v>
      </c>
      <c r="D121" s="125"/>
      <c r="E121" s="126">
        <f>3.7*6.7</f>
        <v>24.790000000000003</v>
      </c>
      <c r="F121" s="100"/>
      <c r="G121" s="101"/>
      <c r="I121" s="113"/>
      <c r="J121" s="111"/>
    </row>
    <row r="122" spans="1:10" x14ac:dyDescent="0.2">
      <c r="A122" s="96"/>
      <c r="B122" s="120"/>
      <c r="C122" s="124" t="s">
        <v>283</v>
      </c>
      <c r="D122" s="125"/>
      <c r="E122" s="126">
        <f>11.4*6.7</f>
        <v>76.38000000000001</v>
      </c>
      <c r="F122" s="100"/>
      <c r="G122" s="101"/>
      <c r="I122" s="113"/>
      <c r="J122" s="111"/>
    </row>
    <row r="123" spans="1:10" x14ac:dyDescent="0.2">
      <c r="A123" s="96">
        <v>43</v>
      </c>
      <c r="B123" s="120" t="s">
        <v>227</v>
      </c>
      <c r="C123" s="98" t="s">
        <v>228</v>
      </c>
      <c r="D123" s="99" t="s">
        <v>76</v>
      </c>
      <c r="E123" s="109">
        <f>SUM(E124:E126)</f>
        <v>6</v>
      </c>
      <c r="F123" s="109">
        <v>800</v>
      </c>
      <c r="G123" s="101">
        <f>E123*F123</f>
        <v>4800</v>
      </c>
      <c r="I123" s="113"/>
      <c r="J123" s="111"/>
    </row>
    <row r="124" spans="1:10" x14ac:dyDescent="0.2">
      <c r="A124" s="96"/>
      <c r="B124" s="120"/>
      <c r="C124" s="124" t="s">
        <v>296</v>
      </c>
      <c r="D124" s="125"/>
      <c r="E124" s="126">
        <v>2</v>
      </c>
      <c r="F124" s="109"/>
      <c r="G124" s="101"/>
      <c r="I124" s="113"/>
      <c r="J124" s="111"/>
    </row>
    <row r="125" spans="1:10" x14ac:dyDescent="0.2">
      <c r="A125" s="96"/>
      <c r="B125" s="120"/>
      <c r="C125" s="124" t="s">
        <v>297</v>
      </c>
      <c r="D125" s="125"/>
      <c r="E125" s="126">
        <v>2</v>
      </c>
      <c r="F125" s="109"/>
      <c r="G125" s="101"/>
      <c r="I125" s="113"/>
      <c r="J125" s="111"/>
    </row>
    <row r="126" spans="1:10" x14ac:dyDescent="0.2">
      <c r="A126" s="96"/>
      <c r="B126" s="120"/>
      <c r="C126" s="124" t="s">
        <v>298</v>
      </c>
      <c r="D126" s="125"/>
      <c r="E126" s="126">
        <v>2</v>
      </c>
      <c r="F126" s="109"/>
      <c r="G126" s="101"/>
      <c r="I126" s="113"/>
      <c r="J126" s="111"/>
    </row>
    <row r="127" spans="1:10" x14ac:dyDescent="0.2">
      <c r="A127" s="96">
        <v>44</v>
      </c>
      <c r="B127" s="120" t="s">
        <v>299</v>
      </c>
      <c r="C127" s="98" t="s">
        <v>300</v>
      </c>
      <c r="D127" s="99" t="s">
        <v>229</v>
      </c>
      <c r="E127" s="109">
        <v>1</v>
      </c>
      <c r="F127" s="100">
        <v>1000</v>
      </c>
      <c r="G127" s="101">
        <f>E127*F127</f>
        <v>1000</v>
      </c>
      <c r="I127" s="113"/>
      <c r="J127" s="111"/>
    </row>
    <row r="128" spans="1:10" x14ac:dyDescent="0.2">
      <c r="A128" s="102"/>
      <c r="B128" s="121" t="s">
        <v>81</v>
      </c>
      <c r="C128" s="104" t="str">
        <f>CONCATENATE(B118," ",C118)</f>
        <v>783 Nátěry</v>
      </c>
      <c r="D128" s="102"/>
      <c r="E128" s="118"/>
      <c r="F128" s="105"/>
      <c r="G128" s="106">
        <f>SUM(G118:G127)</f>
        <v>84625.5</v>
      </c>
      <c r="I128" s="114"/>
      <c r="J128" s="111"/>
    </row>
    <row r="129" spans="1:10" x14ac:dyDescent="0.2">
      <c r="A129" s="90" t="s">
        <v>58</v>
      </c>
      <c r="B129" s="119" t="s">
        <v>230</v>
      </c>
      <c r="C129" s="92" t="s">
        <v>231</v>
      </c>
      <c r="D129" s="93"/>
      <c r="E129" s="117"/>
      <c r="F129" s="94"/>
      <c r="G129" s="95"/>
      <c r="I129" s="112"/>
      <c r="J129" s="111"/>
    </row>
    <row r="130" spans="1:10" x14ac:dyDescent="0.2">
      <c r="A130" s="96">
        <v>45</v>
      </c>
      <c r="B130" s="97" t="s">
        <v>232</v>
      </c>
      <c r="C130" s="98" t="s">
        <v>301</v>
      </c>
      <c r="D130" s="99" t="s">
        <v>63</v>
      </c>
      <c r="E130" s="109">
        <f>SUM(E131:E133)</f>
        <v>425.15</v>
      </c>
      <c r="F130" s="100">
        <v>40</v>
      </c>
      <c r="G130" s="101">
        <f>E130*F130</f>
        <v>17006</v>
      </c>
      <c r="H130" s="116"/>
      <c r="I130" s="112"/>
      <c r="J130" s="111"/>
    </row>
    <row r="131" spans="1:10" x14ac:dyDescent="0.2">
      <c r="A131" s="96"/>
      <c r="B131" s="97"/>
      <c r="C131" s="124" t="s">
        <v>264</v>
      </c>
      <c r="D131" s="125"/>
      <c r="E131" s="126">
        <f>(6.7+6.7+3+3)*4.3+(1.9*0.5+3.1*0.5*2)</f>
        <v>87.469999999999985</v>
      </c>
      <c r="F131" s="100"/>
      <c r="G131" s="101"/>
      <c r="H131" s="116"/>
      <c r="I131" s="112"/>
      <c r="J131" s="111"/>
    </row>
    <row r="132" spans="1:10" x14ac:dyDescent="0.2">
      <c r="A132" s="96"/>
      <c r="B132" s="97"/>
      <c r="C132" s="124" t="s">
        <v>265</v>
      </c>
      <c r="D132" s="125"/>
      <c r="E132" s="126">
        <f>(6.7+6.7+3.7+3.7)*4.3+(1.9*0.5+3.1*0.5*2)</f>
        <v>93.49</v>
      </c>
      <c r="F132" s="100"/>
      <c r="G132" s="101"/>
      <c r="H132" s="116"/>
      <c r="I132" s="112"/>
      <c r="J132" s="111"/>
    </row>
    <row r="133" spans="1:10" ht="22.5" x14ac:dyDescent="0.2">
      <c r="A133" s="96"/>
      <c r="B133" s="97"/>
      <c r="C133" s="124" t="s">
        <v>302</v>
      </c>
      <c r="D133" s="125"/>
      <c r="E133" s="126">
        <f>11.4*6.7+(6.7+6.7+11.4+11.4)*4.3+(1.9*0.5+3.1*0.5*2)*3</f>
        <v>244.19000000000003</v>
      </c>
      <c r="F133" s="100"/>
      <c r="G133" s="101"/>
      <c r="H133" s="116"/>
      <c r="I133" s="112"/>
      <c r="J133" s="111"/>
    </row>
    <row r="134" spans="1:10" x14ac:dyDescent="0.2">
      <c r="A134" s="96">
        <v>46</v>
      </c>
      <c r="B134" s="120" t="s">
        <v>238</v>
      </c>
      <c r="C134" s="98" t="s">
        <v>303</v>
      </c>
      <c r="D134" s="99" t="s">
        <v>63</v>
      </c>
      <c r="E134" s="109">
        <f>SUM(E135:E137)</f>
        <v>470.03999999999996</v>
      </c>
      <c r="F134" s="100">
        <v>67</v>
      </c>
      <c r="G134" s="101">
        <f>E134*F134</f>
        <v>31492.679999999997</v>
      </c>
      <c r="H134" s="116"/>
      <c r="I134" s="113"/>
      <c r="J134" s="111"/>
    </row>
    <row r="135" spans="1:10" x14ac:dyDescent="0.2">
      <c r="A135" s="96"/>
      <c r="B135" s="120"/>
      <c r="C135" s="124" t="s">
        <v>304</v>
      </c>
      <c r="D135" s="125"/>
      <c r="E135" s="126">
        <f>3*6.7+(6.7+6.7+3+3)*4.3+(1.9*0.5+3.1*0.5*2)</f>
        <v>107.56999999999998</v>
      </c>
      <c r="F135" s="100"/>
      <c r="G135" s="101"/>
      <c r="H135" s="116"/>
      <c r="I135" s="113"/>
      <c r="J135" s="111"/>
    </row>
    <row r="136" spans="1:10" ht="22.5" x14ac:dyDescent="0.2">
      <c r="A136" s="96"/>
      <c r="B136" s="120"/>
      <c r="C136" s="124" t="s">
        <v>305</v>
      </c>
      <c r="D136" s="125"/>
      <c r="E136" s="126">
        <f>3.7*6.7+(6.7+6.7+3.7+3.7)*4.3+(1.9*0.5+3.1*0.5*2)</f>
        <v>118.28</v>
      </c>
      <c r="F136" s="100"/>
      <c r="G136" s="101"/>
      <c r="H136" s="116"/>
      <c r="I136" s="113"/>
      <c r="J136" s="111"/>
    </row>
    <row r="137" spans="1:10" ht="22.5" x14ac:dyDescent="0.2">
      <c r="A137" s="96"/>
      <c r="B137" s="120"/>
      <c r="C137" s="124" t="s">
        <v>302</v>
      </c>
      <c r="D137" s="125"/>
      <c r="E137" s="126">
        <f>11.4*6.7+(6.7+6.7+11.4+11.4)*4.3+(1.9*0.5+3.1*0.5*2)*3</f>
        <v>244.19000000000003</v>
      </c>
      <c r="F137" s="100"/>
      <c r="G137" s="101"/>
      <c r="H137" s="116"/>
      <c r="I137" s="113"/>
      <c r="J137" s="111"/>
    </row>
    <row r="138" spans="1:10" x14ac:dyDescent="0.2">
      <c r="A138" s="102"/>
      <c r="B138" s="121" t="s">
        <v>81</v>
      </c>
      <c r="C138" s="104" t="str">
        <f>CONCATENATE(B129," ",C129)</f>
        <v>784 Malby</v>
      </c>
      <c r="D138" s="102"/>
      <c r="E138" s="118"/>
      <c r="F138" s="105"/>
      <c r="G138" s="106">
        <f>SUM(G129:G137)</f>
        <v>48498.679999999993</v>
      </c>
      <c r="I138" s="114"/>
      <c r="J138" s="111"/>
    </row>
    <row r="139" spans="1:10" x14ac:dyDescent="0.2">
      <c r="A139" s="90" t="s">
        <v>58</v>
      </c>
      <c r="B139" s="91" t="s">
        <v>241</v>
      </c>
      <c r="C139" s="92" t="s">
        <v>242</v>
      </c>
      <c r="D139" s="93"/>
      <c r="E139" s="117"/>
      <c r="F139" s="94"/>
      <c r="G139" s="95"/>
      <c r="I139" s="112"/>
      <c r="J139" s="111"/>
    </row>
    <row r="140" spans="1:10" x14ac:dyDescent="0.2">
      <c r="A140" s="96">
        <v>47</v>
      </c>
      <c r="B140" s="97" t="s">
        <v>243</v>
      </c>
      <c r="C140" s="98" t="s">
        <v>244</v>
      </c>
      <c r="D140" s="99" t="s">
        <v>135</v>
      </c>
      <c r="E140" s="109">
        <v>1</v>
      </c>
      <c r="F140" s="109">
        <v>529647.3899999999</v>
      </c>
      <c r="G140" s="101">
        <f>E140*F140</f>
        <v>529647.3899999999</v>
      </c>
      <c r="I140" s="113"/>
      <c r="J140" s="111"/>
    </row>
    <row r="141" spans="1:10" ht="12.75" customHeight="1" x14ac:dyDescent="0.2">
      <c r="A141" s="96">
        <v>48</v>
      </c>
      <c r="B141" s="97" t="s">
        <v>245</v>
      </c>
      <c r="C141" s="107" t="s">
        <v>246</v>
      </c>
      <c r="D141" s="99" t="s">
        <v>135</v>
      </c>
      <c r="E141" s="109">
        <v>1</v>
      </c>
      <c r="F141" s="109">
        <v>485641.54872000002</v>
      </c>
      <c r="G141" s="101">
        <f t="shared" ref="G141:G149" si="12">E141*F141</f>
        <v>485641.54872000002</v>
      </c>
      <c r="I141" s="113"/>
      <c r="J141" s="111"/>
    </row>
    <row r="142" spans="1:10" ht="12.75" customHeight="1" x14ac:dyDescent="0.2">
      <c r="A142" s="96">
        <v>49</v>
      </c>
      <c r="B142" s="97" t="s">
        <v>306</v>
      </c>
      <c r="C142" s="107" t="s">
        <v>307</v>
      </c>
      <c r="D142" s="99" t="s">
        <v>63</v>
      </c>
      <c r="E142" s="109">
        <v>29.5</v>
      </c>
      <c r="F142" s="109">
        <v>2826</v>
      </c>
      <c r="G142" s="101">
        <f t="shared" si="12"/>
        <v>83367</v>
      </c>
      <c r="I142" s="113"/>
      <c r="J142" s="111"/>
    </row>
    <row r="143" spans="1:10" ht="12.75" customHeight="1" x14ac:dyDescent="0.2">
      <c r="A143" s="96">
        <v>50</v>
      </c>
      <c r="B143" s="97" t="s">
        <v>308</v>
      </c>
      <c r="C143" s="107" t="s">
        <v>309</v>
      </c>
      <c r="D143" s="99" t="s">
        <v>63</v>
      </c>
      <c r="E143" s="109">
        <v>36</v>
      </c>
      <c r="F143" s="109">
        <v>3658.5</v>
      </c>
      <c r="G143" s="101">
        <f t="shared" ref="G143" si="13">E143*F143</f>
        <v>131706</v>
      </c>
      <c r="I143" s="113"/>
      <c r="J143" s="111"/>
    </row>
    <row r="144" spans="1:10" ht="12.75" customHeight="1" x14ac:dyDescent="0.2">
      <c r="A144" s="96">
        <v>51</v>
      </c>
      <c r="B144" s="97" t="s">
        <v>247</v>
      </c>
      <c r="C144" s="107" t="s">
        <v>310</v>
      </c>
      <c r="D144" s="99" t="s">
        <v>63</v>
      </c>
      <c r="E144" s="109">
        <v>15.5</v>
      </c>
      <c r="F144" s="109">
        <v>3987</v>
      </c>
      <c r="G144" s="101">
        <f t="shared" ref="G144" si="14">E144*F144</f>
        <v>61798.5</v>
      </c>
      <c r="I144" s="113"/>
      <c r="J144" s="111"/>
    </row>
    <row r="145" spans="1:10" ht="12.75" customHeight="1" x14ac:dyDescent="0.2">
      <c r="A145" s="96">
        <v>52</v>
      </c>
      <c r="B145" s="97" t="s">
        <v>249</v>
      </c>
      <c r="C145" s="107" t="s">
        <v>311</v>
      </c>
      <c r="D145" s="99" t="s">
        <v>63</v>
      </c>
      <c r="E145" s="109">
        <v>10</v>
      </c>
      <c r="F145" s="109">
        <v>4201.2</v>
      </c>
      <c r="G145" s="101">
        <f t="shared" ref="G145" si="15">E145*F145</f>
        <v>42012</v>
      </c>
      <c r="I145" s="113"/>
      <c r="J145" s="111"/>
    </row>
    <row r="146" spans="1:10" ht="45" x14ac:dyDescent="0.2">
      <c r="A146" s="96">
        <v>53</v>
      </c>
      <c r="B146" s="97" t="s">
        <v>251</v>
      </c>
      <c r="C146" s="107" t="s">
        <v>312</v>
      </c>
      <c r="D146" s="99" t="s">
        <v>135</v>
      </c>
      <c r="E146" s="109">
        <v>1</v>
      </c>
      <c r="F146" s="109">
        <v>58500</v>
      </c>
      <c r="G146" s="101">
        <f t="shared" si="12"/>
        <v>58500</v>
      </c>
      <c r="I146" s="113"/>
      <c r="J146" s="111"/>
    </row>
    <row r="147" spans="1:10" s="192" customFormat="1" ht="22.5" x14ac:dyDescent="0.2">
      <c r="A147" s="186">
        <v>54</v>
      </c>
      <c r="B147" s="187" t="s">
        <v>313</v>
      </c>
      <c r="C147" s="188" t="s">
        <v>248</v>
      </c>
      <c r="D147" s="189" t="s">
        <v>135</v>
      </c>
      <c r="E147" s="190">
        <v>0</v>
      </c>
      <c r="F147" s="190">
        <v>0</v>
      </c>
      <c r="G147" s="191">
        <f t="shared" si="12"/>
        <v>0</v>
      </c>
      <c r="I147" s="193"/>
      <c r="J147" s="194"/>
    </row>
    <row r="148" spans="1:10" ht="22.5" x14ac:dyDescent="0.2">
      <c r="A148" s="96">
        <v>55</v>
      </c>
      <c r="B148" s="97" t="s">
        <v>314</v>
      </c>
      <c r="C148" s="98" t="s">
        <v>250</v>
      </c>
      <c r="D148" s="99" t="s">
        <v>229</v>
      </c>
      <c r="E148" s="109">
        <v>6</v>
      </c>
      <c r="F148" s="109">
        <v>1500</v>
      </c>
      <c r="G148" s="101">
        <f t="shared" si="12"/>
        <v>9000</v>
      </c>
      <c r="I148" s="113"/>
      <c r="J148" s="111"/>
    </row>
    <row r="149" spans="1:10" x14ac:dyDescent="0.2">
      <c r="A149" s="96">
        <v>56</v>
      </c>
      <c r="B149" s="97" t="s">
        <v>315</v>
      </c>
      <c r="C149" s="98" t="s">
        <v>252</v>
      </c>
      <c r="D149" s="99" t="s">
        <v>175</v>
      </c>
      <c r="E149" s="109">
        <v>12</v>
      </c>
      <c r="F149" s="109">
        <v>500</v>
      </c>
      <c r="G149" s="101">
        <f t="shared" si="12"/>
        <v>6000</v>
      </c>
      <c r="H149" s="116"/>
      <c r="I149" s="113"/>
      <c r="J149" s="111"/>
    </row>
    <row r="150" spans="1:10" x14ac:dyDescent="0.2">
      <c r="A150" s="102"/>
      <c r="B150" s="103" t="s">
        <v>81</v>
      </c>
      <c r="C150" s="104" t="str">
        <f>CONCATENATE(B139," ",C139)</f>
        <v>M21 Elektromontáže+akustika+audioviz. technika</v>
      </c>
      <c r="D150" s="102"/>
      <c r="E150" s="118"/>
      <c r="F150" s="105"/>
      <c r="G150" s="106">
        <f>SUM(G139:G149)</f>
        <v>1407672.43872</v>
      </c>
      <c r="I150" s="114"/>
      <c r="J150" s="111"/>
    </row>
    <row r="151" spans="1:10" x14ac:dyDescent="0.2">
      <c r="E151" s="74"/>
    </row>
    <row r="152" spans="1:10" x14ac:dyDescent="0.2">
      <c r="A152" s="130"/>
      <c r="B152" s="131" t="s">
        <v>81</v>
      </c>
      <c r="C152" s="132"/>
      <c r="D152" s="130"/>
      <c r="E152" s="133"/>
      <c r="F152" s="134"/>
      <c r="G152" s="135">
        <f>G150+G138+G128+G117+G108+G103+G90+G80+G74+G71+G56+G53+G44+G30+G12+G93</f>
        <v>2800900.1132199997</v>
      </c>
    </row>
    <row r="153" spans="1:10" x14ac:dyDescent="0.2">
      <c r="C153" s="145"/>
      <c r="E153" s="74"/>
    </row>
    <row r="154" spans="1:10" x14ac:dyDescent="0.2">
      <c r="E154" s="74"/>
    </row>
    <row r="155" spans="1:10" x14ac:dyDescent="0.2">
      <c r="E155" s="74"/>
    </row>
    <row r="156" spans="1:10" x14ac:dyDescent="0.2">
      <c r="E156" s="74"/>
    </row>
    <row r="157" spans="1:10" x14ac:dyDescent="0.2">
      <c r="E157" s="74"/>
    </row>
    <row r="158" spans="1:10" x14ac:dyDescent="0.2">
      <c r="C158" s="136"/>
      <c r="D158" s="114"/>
      <c r="E158" s="111"/>
    </row>
    <row r="159" spans="1:10" x14ac:dyDescent="0.2">
      <c r="C159" s="155"/>
      <c r="E159" s="74"/>
    </row>
    <row r="160" spans="1:10" x14ac:dyDescent="0.2">
      <c r="C160" s="156"/>
      <c r="E160" s="74"/>
    </row>
    <row r="161" spans="3:5" x14ac:dyDescent="0.2">
      <c r="E161" s="74"/>
    </row>
    <row r="162" spans="3:5" x14ac:dyDescent="0.2">
      <c r="C162" s="136"/>
      <c r="E162" s="74"/>
    </row>
    <row r="163" spans="3:5" x14ac:dyDescent="0.2">
      <c r="E163" s="74"/>
    </row>
    <row r="164" spans="3:5" x14ac:dyDescent="0.2">
      <c r="E164" s="74"/>
    </row>
    <row r="165" spans="3:5" x14ac:dyDescent="0.2">
      <c r="E165" s="74"/>
    </row>
    <row r="166" spans="3:5" x14ac:dyDescent="0.2">
      <c r="E166" s="74"/>
    </row>
    <row r="167" spans="3:5" x14ac:dyDescent="0.2">
      <c r="E167" s="74"/>
    </row>
    <row r="168" spans="3:5" x14ac:dyDescent="0.2">
      <c r="E168" s="74"/>
    </row>
    <row r="169" spans="3:5" x14ac:dyDescent="0.2">
      <c r="E169" s="74"/>
    </row>
    <row r="170" spans="3:5" x14ac:dyDescent="0.2">
      <c r="E170" s="74"/>
    </row>
    <row r="171" spans="3:5" x14ac:dyDescent="0.2">
      <c r="E171" s="74"/>
    </row>
    <row r="172" spans="3:5" x14ac:dyDescent="0.2">
      <c r="E172" s="74"/>
    </row>
    <row r="173" spans="3:5" x14ac:dyDescent="0.2">
      <c r="E173" s="74"/>
    </row>
    <row r="174" spans="3:5" x14ac:dyDescent="0.2">
      <c r="E174" s="74"/>
    </row>
    <row r="175" spans="3:5" x14ac:dyDescent="0.2">
      <c r="E175" s="74"/>
    </row>
    <row r="176" spans="3:5" x14ac:dyDescent="0.2">
      <c r="E176" s="74"/>
    </row>
    <row r="177" spans="5:5" x14ac:dyDescent="0.2">
      <c r="E177" s="74"/>
    </row>
    <row r="178" spans="5:5" x14ac:dyDescent="0.2">
      <c r="E178" s="74"/>
    </row>
    <row r="179" spans="5:5" x14ac:dyDescent="0.2">
      <c r="E179" s="74"/>
    </row>
    <row r="180" spans="5:5" x14ac:dyDescent="0.2">
      <c r="E180" s="74"/>
    </row>
    <row r="181" spans="5:5" x14ac:dyDescent="0.2">
      <c r="E181" s="74"/>
    </row>
    <row r="182" spans="5:5" x14ac:dyDescent="0.2">
      <c r="E182" s="74"/>
    </row>
    <row r="183" spans="5:5" x14ac:dyDescent="0.2">
      <c r="E183" s="74"/>
    </row>
    <row r="184" spans="5:5" x14ac:dyDescent="0.2">
      <c r="E184" s="74"/>
    </row>
    <row r="185" spans="5:5" x14ac:dyDescent="0.2">
      <c r="E185" s="74"/>
    </row>
    <row r="186" spans="5:5" x14ac:dyDescent="0.2">
      <c r="E186" s="74"/>
    </row>
    <row r="187" spans="5:5" x14ac:dyDescent="0.2">
      <c r="E187" s="74"/>
    </row>
    <row r="188" spans="5:5" x14ac:dyDescent="0.2">
      <c r="E188" s="74"/>
    </row>
    <row r="189" spans="5:5" x14ac:dyDescent="0.2">
      <c r="E189" s="74"/>
    </row>
    <row r="190" spans="5:5" x14ac:dyDescent="0.2">
      <c r="E190" s="74"/>
    </row>
    <row r="191" spans="5:5" x14ac:dyDescent="0.2">
      <c r="E191" s="74"/>
    </row>
    <row r="192" spans="5:5" x14ac:dyDescent="0.2">
      <c r="E192" s="74"/>
    </row>
    <row r="193" spans="1:7" x14ac:dyDescent="0.2">
      <c r="E193" s="74"/>
    </row>
    <row r="194" spans="1:7" x14ac:dyDescent="0.2">
      <c r="E194" s="74"/>
    </row>
    <row r="195" spans="1:7" x14ac:dyDescent="0.2">
      <c r="E195" s="74"/>
    </row>
    <row r="196" spans="1:7" x14ac:dyDescent="0.2">
      <c r="E196" s="74"/>
    </row>
    <row r="197" spans="1:7" x14ac:dyDescent="0.2">
      <c r="E197" s="74"/>
    </row>
    <row r="198" spans="1:7" x14ac:dyDescent="0.2">
      <c r="E198" s="74"/>
    </row>
    <row r="199" spans="1:7" x14ac:dyDescent="0.2">
      <c r="E199" s="74"/>
    </row>
    <row r="200" spans="1:7" x14ac:dyDescent="0.2">
      <c r="E200" s="74"/>
    </row>
    <row r="201" spans="1:7" x14ac:dyDescent="0.2">
      <c r="E201" s="74"/>
    </row>
    <row r="202" spans="1:7" x14ac:dyDescent="0.2">
      <c r="E202" s="74"/>
    </row>
    <row r="203" spans="1:7" x14ac:dyDescent="0.2">
      <c r="E203" s="74"/>
    </row>
    <row r="204" spans="1:7" x14ac:dyDescent="0.2">
      <c r="E204" s="74"/>
    </row>
    <row r="205" spans="1:7" x14ac:dyDescent="0.2">
      <c r="A205" s="85"/>
      <c r="B205" s="85"/>
    </row>
    <row r="206" spans="1:7" x14ac:dyDescent="0.2">
      <c r="C206" s="86"/>
      <c r="D206" s="86"/>
      <c r="E206" s="87"/>
      <c r="F206" s="86"/>
      <c r="G206" s="88"/>
    </row>
    <row r="207" spans="1:7" x14ac:dyDescent="0.2">
      <c r="A207" s="85"/>
      <c r="B207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3" orientation="portrait" r:id="rId1"/>
  <rowBreaks count="2" manualBreakCount="2">
    <brk id="44" max="6" man="1"/>
    <brk id="90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5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69" t="s">
        <v>50</v>
      </c>
      <c r="B1" s="369"/>
      <c r="C1" s="369"/>
      <c r="D1" s="369"/>
      <c r="E1" s="369"/>
      <c r="F1" s="369"/>
      <c r="G1" s="369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362" t="s">
        <v>4</v>
      </c>
      <c r="B3" s="363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20</v>
      </c>
    </row>
    <row r="4" spans="1:10" ht="13.5" thickBot="1" x14ac:dyDescent="0.25">
      <c r="A4" s="370" t="s">
        <v>1</v>
      </c>
      <c r="B4" s="365"/>
      <c r="C4" s="58" t="str">
        <f>CONCATENATE(cisloobjektu," ",nazevobjektu)</f>
        <v xml:space="preserve"> FF UK OSIP PRAHA 1, NÁM. JANA PALACHA 2</v>
      </c>
      <c r="D4" s="59"/>
      <c r="E4" s="371"/>
      <c r="F4" s="371"/>
      <c r="G4" s="372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SUM(E9:E13)</f>
        <v>10</v>
      </c>
      <c r="F8" s="109">
        <v>1150</v>
      </c>
      <c r="G8" s="150">
        <f t="shared" ref="G8:G14" si="0">E8*F8</f>
        <v>11500</v>
      </c>
      <c r="H8" s="137"/>
      <c r="I8" s="114"/>
      <c r="J8" s="111"/>
    </row>
    <row r="9" spans="1:10" x14ac:dyDescent="0.2">
      <c r="A9" s="149"/>
      <c r="B9" s="120"/>
      <c r="C9" s="151" t="s">
        <v>317</v>
      </c>
      <c r="D9" s="152"/>
      <c r="E9" s="126">
        <f>2*1*1</f>
        <v>2</v>
      </c>
      <c r="F9" s="109"/>
      <c r="G9" s="150"/>
      <c r="H9" s="137"/>
      <c r="I9" s="114"/>
      <c r="J9" s="111"/>
    </row>
    <row r="10" spans="1:10" x14ac:dyDescent="0.2">
      <c r="A10" s="149"/>
      <c r="B10" s="120"/>
      <c r="C10" s="151" t="s">
        <v>318</v>
      </c>
      <c r="D10" s="152"/>
      <c r="E10" s="126">
        <f t="shared" ref="E10:E13" si="1">2*1*1</f>
        <v>2</v>
      </c>
      <c r="F10" s="109"/>
      <c r="G10" s="150"/>
      <c r="H10" s="137"/>
      <c r="I10" s="114"/>
      <c r="J10" s="111"/>
    </row>
    <row r="11" spans="1:10" x14ac:dyDescent="0.2">
      <c r="A11" s="149"/>
      <c r="B11" s="120"/>
      <c r="C11" s="151" t="s">
        <v>319</v>
      </c>
      <c r="D11" s="152"/>
      <c r="E11" s="126">
        <f t="shared" si="1"/>
        <v>2</v>
      </c>
      <c r="F11" s="109"/>
      <c r="G11" s="150"/>
      <c r="H11" s="137"/>
      <c r="I11" s="114"/>
      <c r="J11" s="111"/>
    </row>
    <row r="12" spans="1:10" x14ac:dyDescent="0.2">
      <c r="A12" s="149"/>
      <c r="B12" s="120"/>
      <c r="C12" s="151" t="s">
        <v>320</v>
      </c>
      <c r="D12" s="152"/>
      <c r="E12" s="126">
        <f t="shared" si="1"/>
        <v>2</v>
      </c>
      <c r="F12" s="109"/>
      <c r="G12" s="150"/>
      <c r="H12" s="137"/>
      <c r="I12" s="114"/>
      <c r="J12" s="111"/>
    </row>
    <row r="13" spans="1:10" x14ac:dyDescent="0.2">
      <c r="A13" s="149"/>
      <c r="B13" s="120"/>
      <c r="C13" s="151" t="s">
        <v>321</v>
      </c>
      <c r="D13" s="152"/>
      <c r="E13" s="126">
        <f t="shared" si="1"/>
        <v>2</v>
      </c>
      <c r="F13" s="109"/>
      <c r="G13" s="150"/>
      <c r="H13" s="137"/>
      <c r="I13" s="114"/>
      <c r="J13" s="111"/>
    </row>
    <row r="14" spans="1:10" ht="22.5" x14ac:dyDescent="0.2">
      <c r="A14" s="96">
        <v>2</v>
      </c>
      <c r="B14" s="120" t="s">
        <v>68</v>
      </c>
      <c r="C14" s="98" t="s">
        <v>69</v>
      </c>
      <c r="D14" s="99" t="s">
        <v>63</v>
      </c>
      <c r="E14" s="109">
        <f>SUM(E15:E18)</f>
        <v>96.56</v>
      </c>
      <c r="F14" s="109">
        <v>280</v>
      </c>
      <c r="G14" s="101">
        <f t="shared" si="0"/>
        <v>27036.799999999999</v>
      </c>
      <c r="I14" s="114"/>
      <c r="J14" s="111"/>
    </row>
    <row r="15" spans="1:10" x14ac:dyDescent="0.2">
      <c r="A15" s="96"/>
      <c r="B15" s="120"/>
      <c r="C15" s="124" t="s">
        <v>322</v>
      </c>
      <c r="D15" s="125"/>
      <c r="E15" s="126">
        <f>3.2*6.8</f>
        <v>21.76</v>
      </c>
      <c r="F15" s="109"/>
      <c r="G15" s="101"/>
      <c r="I15" s="114"/>
      <c r="J15" s="111"/>
    </row>
    <row r="16" spans="1:10" x14ac:dyDescent="0.2">
      <c r="A16" s="96"/>
      <c r="B16" s="120"/>
      <c r="C16" s="124" t="s">
        <v>323</v>
      </c>
      <c r="D16" s="125"/>
      <c r="E16" s="126">
        <f>3.7*6.8</f>
        <v>25.16</v>
      </c>
      <c r="F16" s="109"/>
      <c r="G16" s="101"/>
      <c r="I16" s="114"/>
      <c r="J16" s="111"/>
    </row>
    <row r="17" spans="1:10" x14ac:dyDescent="0.2">
      <c r="A17" s="96"/>
      <c r="B17" s="120"/>
      <c r="C17" s="124" t="s">
        <v>324</v>
      </c>
      <c r="D17" s="125"/>
      <c r="E17" s="126">
        <f>3.7*6.8</f>
        <v>25.16</v>
      </c>
      <c r="F17" s="109"/>
      <c r="G17" s="101"/>
      <c r="I17" s="114"/>
      <c r="J17" s="111"/>
    </row>
    <row r="18" spans="1:10" x14ac:dyDescent="0.2">
      <c r="A18" s="96"/>
      <c r="B18" s="120"/>
      <c r="C18" s="124" t="s">
        <v>325</v>
      </c>
      <c r="D18" s="125"/>
      <c r="E18" s="126">
        <f>3.6*6.8</f>
        <v>24.48</v>
      </c>
      <c r="F18" s="109"/>
      <c r="G18" s="101"/>
      <c r="I18" s="114"/>
      <c r="J18" s="111"/>
    </row>
    <row r="19" spans="1:10" x14ac:dyDescent="0.2">
      <c r="A19" s="102"/>
      <c r="B19" s="121" t="s">
        <v>81</v>
      </c>
      <c r="C19" s="104" t="str">
        <f>CONCATENATE(B7," ",C7)</f>
        <v>4 Vodorovné konstukce</v>
      </c>
      <c r="D19" s="102"/>
      <c r="E19" s="118"/>
      <c r="F19" s="105"/>
      <c r="G19" s="106">
        <f>SUM(G7:G18)</f>
        <v>38536.800000000003</v>
      </c>
      <c r="I19" s="114"/>
      <c r="J19" s="111"/>
    </row>
    <row r="20" spans="1:10" x14ac:dyDescent="0.2">
      <c r="A20" s="90" t="s">
        <v>58</v>
      </c>
      <c r="B20" s="119" t="s">
        <v>82</v>
      </c>
      <c r="C20" s="92" t="s">
        <v>83</v>
      </c>
      <c r="D20" s="93"/>
      <c r="E20" s="117"/>
      <c r="F20" s="94"/>
      <c r="G20" s="95"/>
      <c r="I20" s="112"/>
      <c r="J20" s="111"/>
    </row>
    <row r="21" spans="1:10" x14ac:dyDescent="0.2">
      <c r="A21" s="96">
        <v>3</v>
      </c>
      <c r="B21" s="120" t="s">
        <v>84</v>
      </c>
      <c r="C21" s="98" t="s">
        <v>85</v>
      </c>
      <c r="D21" s="99" t="s">
        <v>86</v>
      </c>
      <c r="E21" s="109">
        <f>SUM(E22:E26)</f>
        <v>99.149999999999991</v>
      </c>
      <c r="F21" s="100">
        <v>95</v>
      </c>
      <c r="G21" s="101">
        <f t="shared" ref="G21:G44" si="2">E21*F21</f>
        <v>9419.25</v>
      </c>
      <c r="H21" s="136"/>
      <c r="I21" s="113"/>
      <c r="J21" s="111"/>
    </row>
    <row r="22" spans="1:10" x14ac:dyDescent="0.2">
      <c r="A22" s="96"/>
      <c r="B22" s="120"/>
      <c r="C22" s="124" t="s">
        <v>326</v>
      </c>
      <c r="D22" s="125"/>
      <c r="E22" s="126">
        <f>1.7+2.9*2+3.1+2.9*2+1.25+2.3*2</f>
        <v>22.25</v>
      </c>
      <c r="F22" s="100"/>
      <c r="G22" s="101"/>
      <c r="I22" s="113"/>
      <c r="J22" s="111"/>
    </row>
    <row r="23" spans="1:10" x14ac:dyDescent="0.2">
      <c r="A23" s="96"/>
      <c r="B23" s="120"/>
      <c r="C23" s="124" t="s">
        <v>327</v>
      </c>
      <c r="D23" s="125"/>
      <c r="E23" s="126">
        <f>1.3*3+2.3*2*3+1.9+2.9*2</f>
        <v>25.4</v>
      </c>
      <c r="F23" s="100"/>
      <c r="G23" s="101"/>
      <c r="I23" s="113"/>
      <c r="J23" s="111"/>
    </row>
    <row r="24" spans="1:10" x14ac:dyDescent="0.2">
      <c r="A24" s="96"/>
      <c r="B24" s="120"/>
      <c r="C24" s="124" t="s">
        <v>328</v>
      </c>
      <c r="D24" s="125"/>
      <c r="E24" s="126">
        <f>1.9+2.9*2+1.3+2.3*2</f>
        <v>13.6</v>
      </c>
      <c r="F24" s="100"/>
      <c r="G24" s="101"/>
      <c r="I24" s="113"/>
      <c r="J24" s="111"/>
    </row>
    <row r="25" spans="1:10" x14ac:dyDescent="0.2">
      <c r="A25" s="96"/>
      <c r="B25" s="120"/>
      <c r="C25" s="124" t="s">
        <v>329</v>
      </c>
      <c r="D25" s="125"/>
      <c r="E25" s="126">
        <f>1.9+2.9*2+1.3+2.3*2</f>
        <v>13.6</v>
      </c>
      <c r="F25" s="100"/>
      <c r="G25" s="101"/>
      <c r="I25" s="113"/>
      <c r="J25" s="111"/>
    </row>
    <row r="26" spans="1:10" x14ac:dyDescent="0.2">
      <c r="A26" s="96"/>
      <c r="B26" s="120"/>
      <c r="C26" s="124" t="s">
        <v>330</v>
      </c>
      <c r="D26" s="125"/>
      <c r="E26" s="126">
        <f>1.9+2.9*2+1.3*2+2.3*2*2+0.8+2*2</f>
        <v>24.3</v>
      </c>
      <c r="F26" s="100"/>
      <c r="G26" s="101"/>
      <c r="I26" s="113"/>
      <c r="J26" s="111"/>
    </row>
    <row r="27" spans="1:10" ht="22.5" x14ac:dyDescent="0.2">
      <c r="A27" s="96">
        <v>4</v>
      </c>
      <c r="B27" s="97" t="s">
        <v>91</v>
      </c>
      <c r="C27" s="98" t="s">
        <v>92</v>
      </c>
      <c r="D27" s="99" t="s">
        <v>63</v>
      </c>
      <c r="E27" s="109">
        <f>SUM(E28:E32)</f>
        <v>462.6</v>
      </c>
      <c r="F27" s="100">
        <v>260</v>
      </c>
      <c r="G27" s="101">
        <f t="shared" si="2"/>
        <v>120276</v>
      </c>
      <c r="H27" s="138"/>
      <c r="I27" s="113"/>
      <c r="J27" s="111"/>
    </row>
    <row r="28" spans="1:10" x14ac:dyDescent="0.2">
      <c r="A28" s="96"/>
      <c r="B28" s="97"/>
      <c r="C28" s="124" t="s">
        <v>331</v>
      </c>
      <c r="D28" s="125"/>
      <c r="E28" s="126">
        <f>(6.7+10.4)*2*3.6</f>
        <v>123.12000000000002</v>
      </c>
      <c r="F28" s="100"/>
      <c r="G28" s="101"/>
      <c r="H28" s="116"/>
      <c r="I28" s="113"/>
      <c r="J28" s="111"/>
    </row>
    <row r="29" spans="1:10" x14ac:dyDescent="0.2">
      <c r="A29" s="96"/>
      <c r="B29" s="97"/>
      <c r="C29" s="124" t="s">
        <v>332</v>
      </c>
      <c r="D29" s="125"/>
      <c r="E29" s="126">
        <f>(3.2+6.8)*2*4.1</f>
        <v>82</v>
      </c>
      <c r="F29" s="100"/>
      <c r="G29" s="101"/>
      <c r="H29" s="116"/>
      <c r="I29" s="113"/>
      <c r="J29" s="111"/>
    </row>
    <row r="30" spans="1:10" x14ac:dyDescent="0.2">
      <c r="A30" s="96"/>
      <c r="B30" s="97"/>
      <c r="C30" s="124" t="s">
        <v>333</v>
      </c>
      <c r="D30" s="125"/>
      <c r="E30" s="126">
        <f>(3.7+6.8)*2*4.1</f>
        <v>86.1</v>
      </c>
      <c r="F30" s="100"/>
      <c r="G30" s="101"/>
      <c r="H30" s="116"/>
      <c r="I30" s="113"/>
      <c r="J30" s="111"/>
    </row>
    <row r="31" spans="1:10" x14ac:dyDescent="0.2">
      <c r="A31" s="96"/>
      <c r="B31" s="97"/>
      <c r="C31" s="124" t="s">
        <v>334</v>
      </c>
      <c r="D31" s="125"/>
      <c r="E31" s="126">
        <f>(3.7+6.8)*2*4.1</f>
        <v>86.1</v>
      </c>
      <c r="F31" s="100"/>
      <c r="G31" s="101"/>
      <c r="H31" s="116"/>
      <c r="I31" s="113"/>
      <c r="J31" s="111"/>
    </row>
    <row r="32" spans="1:10" x14ac:dyDescent="0.2">
      <c r="A32" s="96"/>
      <c r="B32" s="97"/>
      <c r="C32" s="124" t="s">
        <v>335</v>
      </c>
      <c r="D32" s="125"/>
      <c r="E32" s="126">
        <f>(3.6+6.8)*2*4.1</f>
        <v>85.28</v>
      </c>
      <c r="F32" s="100"/>
      <c r="G32" s="101"/>
      <c r="H32" s="116"/>
      <c r="I32" s="113"/>
      <c r="J32" s="111"/>
    </row>
    <row r="33" spans="1:10" x14ac:dyDescent="0.2">
      <c r="A33" s="96">
        <v>5</v>
      </c>
      <c r="B33" s="120" t="s">
        <v>97</v>
      </c>
      <c r="C33" s="98" t="s">
        <v>98</v>
      </c>
      <c r="D33" s="99" t="s">
        <v>63</v>
      </c>
      <c r="E33" s="109">
        <f>SUM(E34:E38)</f>
        <v>23.639999999999997</v>
      </c>
      <c r="F33" s="100">
        <v>190</v>
      </c>
      <c r="G33" s="101">
        <f t="shared" si="2"/>
        <v>4491.5999999999995</v>
      </c>
      <c r="H33" s="138"/>
      <c r="I33" s="113"/>
      <c r="J33" s="111"/>
    </row>
    <row r="34" spans="1:10" x14ac:dyDescent="0.2">
      <c r="A34" s="96"/>
      <c r="B34" s="97"/>
      <c r="C34" s="124" t="s">
        <v>336</v>
      </c>
      <c r="D34" s="125"/>
      <c r="E34" s="126">
        <f>1.7*1.2+3.1*1.2</f>
        <v>5.76</v>
      </c>
      <c r="F34" s="100"/>
      <c r="G34" s="101"/>
      <c r="H34" s="116"/>
      <c r="I34" s="113"/>
      <c r="J34" s="111"/>
    </row>
    <row r="35" spans="1:10" x14ac:dyDescent="0.2">
      <c r="A35" s="96"/>
      <c r="B35" s="97"/>
      <c r="C35" s="124" t="s">
        <v>337</v>
      </c>
      <c r="D35" s="125"/>
      <c r="E35" s="126">
        <f>1.9*1.3</f>
        <v>2.4699999999999998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338</v>
      </c>
      <c r="D36" s="125"/>
      <c r="E36" s="126">
        <f>2*2+1.9*1.3</f>
        <v>6.47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339</v>
      </c>
      <c r="D37" s="125"/>
      <c r="E37" s="126">
        <f>2*2+1.9*1.3</f>
        <v>6.47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340</v>
      </c>
      <c r="D38" s="125"/>
      <c r="E38" s="126">
        <f>1.9*1.3</f>
        <v>2.4699999999999998</v>
      </c>
      <c r="F38" s="100"/>
      <c r="G38" s="101"/>
      <c r="H38" s="116"/>
      <c r="I38" s="113"/>
      <c r="J38" s="111"/>
    </row>
    <row r="39" spans="1:10" ht="22.5" x14ac:dyDescent="0.2">
      <c r="A39" s="96">
        <v>6</v>
      </c>
      <c r="B39" s="97" t="s">
        <v>103</v>
      </c>
      <c r="C39" s="98" t="s">
        <v>104</v>
      </c>
      <c r="D39" s="99" t="s">
        <v>63</v>
      </c>
      <c r="E39" s="109">
        <f>SUM(E40:E43)</f>
        <v>96.56</v>
      </c>
      <c r="F39" s="100">
        <v>260</v>
      </c>
      <c r="G39" s="101">
        <f t="shared" si="2"/>
        <v>25105.600000000002</v>
      </c>
      <c r="H39" s="116"/>
      <c r="I39" s="113"/>
      <c r="J39" s="111"/>
    </row>
    <row r="40" spans="1:10" x14ac:dyDescent="0.2">
      <c r="A40" s="96"/>
      <c r="B40" s="97"/>
      <c r="C40" s="124" t="s">
        <v>322</v>
      </c>
      <c r="D40" s="125"/>
      <c r="E40" s="126">
        <f>3.2*6.8</f>
        <v>21.76</v>
      </c>
      <c r="F40" s="100"/>
      <c r="G40" s="101"/>
      <c r="H40" s="116"/>
      <c r="I40" s="113"/>
      <c r="J40" s="111"/>
    </row>
    <row r="41" spans="1:10" x14ac:dyDescent="0.2">
      <c r="A41" s="96"/>
      <c r="B41" s="97"/>
      <c r="C41" s="124" t="s">
        <v>323</v>
      </c>
      <c r="D41" s="125"/>
      <c r="E41" s="126">
        <f>3.7*6.8</f>
        <v>25.16</v>
      </c>
      <c r="F41" s="100"/>
      <c r="G41" s="101"/>
      <c r="H41" s="116"/>
      <c r="I41" s="113"/>
      <c r="J41" s="111"/>
    </row>
    <row r="42" spans="1:10" x14ac:dyDescent="0.2">
      <c r="A42" s="96"/>
      <c r="B42" s="97"/>
      <c r="C42" s="124" t="s">
        <v>324</v>
      </c>
      <c r="D42" s="125"/>
      <c r="E42" s="126">
        <f>3.7*6.8</f>
        <v>25.16</v>
      </c>
      <c r="F42" s="100"/>
      <c r="G42" s="101"/>
      <c r="H42" s="116"/>
      <c r="I42" s="113"/>
      <c r="J42" s="111"/>
    </row>
    <row r="43" spans="1:10" x14ac:dyDescent="0.2">
      <c r="A43" s="96"/>
      <c r="B43" s="97"/>
      <c r="C43" s="124" t="s">
        <v>325</v>
      </c>
      <c r="D43" s="125"/>
      <c r="E43" s="126">
        <f>3.6*6.8</f>
        <v>24.48</v>
      </c>
      <c r="F43" s="100"/>
      <c r="G43" s="101"/>
      <c r="H43" s="116"/>
      <c r="I43" s="113"/>
      <c r="J43" s="111"/>
    </row>
    <row r="44" spans="1:10" x14ac:dyDescent="0.2">
      <c r="A44" s="96">
        <v>7</v>
      </c>
      <c r="B44" s="120" t="s">
        <v>105</v>
      </c>
      <c r="C44" s="98" t="s">
        <v>106</v>
      </c>
      <c r="D44" s="99" t="s">
        <v>63</v>
      </c>
      <c r="E44" s="109">
        <f>SUM(E45:E49)</f>
        <v>61.48</v>
      </c>
      <c r="F44" s="100">
        <v>15</v>
      </c>
      <c r="G44" s="101">
        <f t="shared" si="2"/>
        <v>922.19999999999993</v>
      </c>
      <c r="I44" s="113"/>
      <c r="J44" s="111"/>
    </row>
    <row r="45" spans="1:10" x14ac:dyDescent="0.2">
      <c r="A45" s="96"/>
      <c r="B45" s="120"/>
      <c r="C45" s="124" t="s">
        <v>341</v>
      </c>
      <c r="D45" s="125"/>
      <c r="E45" s="126">
        <f>1.7*2.9+3.1*2.9+1.3*2.3</f>
        <v>16.91</v>
      </c>
      <c r="F45" s="100"/>
      <c r="G45" s="101"/>
      <c r="I45" s="113"/>
      <c r="J45" s="111"/>
    </row>
    <row r="46" spans="1:10" x14ac:dyDescent="0.2">
      <c r="A46" s="96"/>
      <c r="B46" s="120"/>
      <c r="C46" s="124" t="s">
        <v>342</v>
      </c>
      <c r="D46" s="125"/>
      <c r="E46" s="126">
        <f>1.3*2.3*3+1.9*2.9</f>
        <v>14.479999999999999</v>
      </c>
      <c r="F46" s="100"/>
      <c r="G46" s="101"/>
      <c r="I46" s="113"/>
      <c r="J46" s="111"/>
    </row>
    <row r="47" spans="1:10" x14ac:dyDescent="0.2">
      <c r="A47" s="96"/>
      <c r="B47" s="120"/>
      <c r="C47" s="124" t="s">
        <v>343</v>
      </c>
      <c r="D47" s="125"/>
      <c r="E47" s="126">
        <f>1.9*2.9+1.3*2.3</f>
        <v>8.5</v>
      </c>
      <c r="F47" s="100"/>
      <c r="G47" s="101"/>
      <c r="I47" s="113"/>
      <c r="J47" s="111"/>
    </row>
    <row r="48" spans="1:10" x14ac:dyDescent="0.2">
      <c r="A48" s="96"/>
      <c r="B48" s="120"/>
      <c r="C48" s="124" t="s">
        <v>344</v>
      </c>
      <c r="D48" s="125"/>
      <c r="E48" s="126">
        <f>1.9*2.9+1.3*2.3</f>
        <v>8.5</v>
      </c>
      <c r="F48" s="100"/>
      <c r="G48" s="101"/>
      <c r="I48" s="113"/>
      <c r="J48" s="111"/>
    </row>
    <row r="49" spans="1:10" x14ac:dyDescent="0.2">
      <c r="A49" s="96"/>
      <c r="B49" s="120"/>
      <c r="C49" s="124" t="s">
        <v>345</v>
      </c>
      <c r="D49" s="125"/>
      <c r="E49" s="126">
        <f>1.9*2.9+1.3*2.3*2+0.8*2</f>
        <v>13.089999999999998</v>
      </c>
      <c r="F49" s="100"/>
      <c r="G49" s="101"/>
      <c r="I49" s="113"/>
      <c r="J49" s="111"/>
    </row>
    <row r="50" spans="1:10" x14ac:dyDescent="0.2">
      <c r="A50" s="102"/>
      <c r="B50" s="121" t="s">
        <v>81</v>
      </c>
      <c r="C50" s="104" t="str">
        <f>CONCATENATE(B20," ",C20)</f>
        <v>61 Upravy povrchů vnitřní</v>
      </c>
      <c r="D50" s="102"/>
      <c r="E50" s="118"/>
      <c r="F50" s="105"/>
      <c r="G50" s="106">
        <f>SUM(G20:G49)</f>
        <v>160214.65000000002</v>
      </c>
      <c r="I50" s="114"/>
      <c r="J50" s="111"/>
    </row>
    <row r="51" spans="1:10" x14ac:dyDescent="0.2">
      <c r="A51" s="90" t="s">
        <v>58</v>
      </c>
      <c r="B51" s="119" t="s">
        <v>111</v>
      </c>
      <c r="C51" s="92" t="s">
        <v>112</v>
      </c>
      <c r="D51" s="93"/>
      <c r="E51" s="117"/>
      <c r="F51" s="94"/>
      <c r="G51" s="95"/>
      <c r="H51" s="115"/>
      <c r="I51" s="112"/>
      <c r="J51" s="111"/>
    </row>
    <row r="52" spans="1:10" ht="50.1" customHeight="1" x14ac:dyDescent="0.2">
      <c r="A52" s="96">
        <v>8</v>
      </c>
      <c r="B52" s="120" t="s">
        <v>113</v>
      </c>
      <c r="C52" s="107" t="s">
        <v>273</v>
      </c>
      <c r="D52" s="99" t="s">
        <v>76</v>
      </c>
      <c r="E52" s="109">
        <f>SUM(E53:E57)</f>
        <v>5</v>
      </c>
      <c r="F52" s="109">
        <v>35400</v>
      </c>
      <c r="G52" s="101">
        <f t="shared" ref="G52" si="3">E52*F52</f>
        <v>177000</v>
      </c>
      <c r="H52" s="115"/>
      <c r="I52" s="113"/>
      <c r="J52" s="111"/>
    </row>
    <row r="53" spans="1:10" ht="12.75" customHeight="1" x14ac:dyDescent="0.2">
      <c r="A53" s="96"/>
      <c r="B53" s="120"/>
      <c r="C53" s="124" t="s">
        <v>346</v>
      </c>
      <c r="D53" s="125"/>
      <c r="E53" s="126">
        <v>1</v>
      </c>
      <c r="F53" s="109"/>
      <c r="G53" s="101"/>
      <c r="H53" s="115"/>
      <c r="I53" s="113"/>
      <c r="J53" s="111"/>
    </row>
    <row r="54" spans="1:10" ht="12.75" customHeight="1" x14ac:dyDescent="0.2">
      <c r="A54" s="96"/>
      <c r="B54" s="120"/>
      <c r="C54" s="124" t="s">
        <v>347</v>
      </c>
      <c r="D54" s="125"/>
      <c r="E54" s="126">
        <v>1</v>
      </c>
      <c r="F54" s="109"/>
      <c r="G54" s="101"/>
      <c r="H54" s="115"/>
      <c r="I54" s="113"/>
      <c r="J54" s="111"/>
    </row>
    <row r="55" spans="1:10" ht="12.75" customHeight="1" x14ac:dyDescent="0.2">
      <c r="A55" s="96"/>
      <c r="B55" s="120"/>
      <c r="C55" s="124" t="s">
        <v>348</v>
      </c>
      <c r="D55" s="125"/>
      <c r="E55" s="126">
        <v>1</v>
      </c>
      <c r="F55" s="109"/>
      <c r="G55" s="101"/>
      <c r="H55" s="115"/>
      <c r="I55" s="113"/>
      <c r="J55" s="111"/>
    </row>
    <row r="56" spans="1:10" ht="12.75" customHeight="1" x14ac:dyDescent="0.2">
      <c r="A56" s="96"/>
      <c r="B56" s="120"/>
      <c r="C56" s="124" t="s">
        <v>349</v>
      </c>
      <c r="D56" s="125"/>
      <c r="E56" s="126">
        <v>1</v>
      </c>
      <c r="F56" s="109"/>
      <c r="G56" s="101"/>
      <c r="H56" s="115"/>
      <c r="I56" s="113"/>
      <c r="J56" s="111"/>
    </row>
    <row r="57" spans="1:10" ht="12.75" customHeight="1" x14ac:dyDescent="0.2">
      <c r="A57" s="96"/>
      <c r="B57" s="120"/>
      <c r="C57" s="124" t="s">
        <v>350</v>
      </c>
      <c r="D57" s="125"/>
      <c r="E57" s="126">
        <v>1</v>
      </c>
      <c r="F57" s="109"/>
      <c r="G57" s="101"/>
      <c r="H57" s="115"/>
      <c r="I57" s="113"/>
      <c r="J57" s="111"/>
    </row>
    <row r="58" spans="1:10" ht="23.25" customHeight="1" x14ac:dyDescent="0.2">
      <c r="A58" s="96">
        <v>9</v>
      </c>
      <c r="B58" s="120" t="s">
        <v>119</v>
      </c>
      <c r="C58" s="107" t="s">
        <v>277</v>
      </c>
      <c r="D58" s="99" t="s">
        <v>76</v>
      </c>
      <c r="E58" s="109">
        <f>E59</f>
        <v>1</v>
      </c>
      <c r="F58" s="109">
        <v>15000</v>
      </c>
      <c r="G58" s="101">
        <f t="shared" ref="G58" si="4">E58*F58</f>
        <v>15000</v>
      </c>
      <c r="H58" s="115"/>
      <c r="I58" s="113"/>
      <c r="J58" s="111"/>
    </row>
    <row r="59" spans="1:10" ht="12.75" customHeight="1" x14ac:dyDescent="0.2">
      <c r="A59" s="96"/>
      <c r="B59" s="120"/>
      <c r="C59" s="124" t="s">
        <v>346</v>
      </c>
      <c r="D59" s="125"/>
      <c r="E59" s="126">
        <v>1</v>
      </c>
      <c r="F59" s="109"/>
      <c r="G59" s="101"/>
      <c r="H59" s="137"/>
      <c r="I59" s="113"/>
      <c r="J59" s="111"/>
    </row>
    <row r="60" spans="1:10" ht="12.75" customHeight="1" x14ac:dyDescent="0.2">
      <c r="A60" s="96">
        <v>10</v>
      </c>
      <c r="B60" s="120" t="s">
        <v>121</v>
      </c>
      <c r="C60" s="107" t="s">
        <v>351</v>
      </c>
      <c r="D60" s="99" t="s">
        <v>76</v>
      </c>
      <c r="E60" s="109">
        <f>E61</f>
        <v>1</v>
      </c>
      <c r="F60" s="109">
        <v>3000</v>
      </c>
      <c r="G60" s="101">
        <f t="shared" ref="G60" si="5">E60*F60</f>
        <v>3000</v>
      </c>
      <c r="H60" s="137"/>
      <c r="I60" s="113"/>
      <c r="J60" s="111"/>
    </row>
    <row r="61" spans="1:10" ht="12.75" customHeight="1" x14ac:dyDescent="0.2">
      <c r="A61" s="96"/>
      <c r="B61" s="120"/>
      <c r="C61" s="124" t="s">
        <v>346</v>
      </c>
      <c r="D61" s="125"/>
      <c r="E61" s="126">
        <v>1</v>
      </c>
      <c r="F61" s="109"/>
      <c r="G61" s="101"/>
      <c r="H61" s="115"/>
      <c r="I61" s="113"/>
      <c r="J61" s="111"/>
    </row>
    <row r="62" spans="1:10" ht="50.1" customHeight="1" x14ac:dyDescent="0.2">
      <c r="A62" s="96">
        <v>11</v>
      </c>
      <c r="B62" s="120" t="s">
        <v>123</v>
      </c>
      <c r="C62" s="107" t="s">
        <v>352</v>
      </c>
      <c r="D62" s="99" t="s">
        <v>76</v>
      </c>
      <c r="E62" s="109">
        <f>SUM(E63:E64)</f>
        <v>2</v>
      </c>
      <c r="F62" s="109">
        <v>20700</v>
      </c>
      <c r="G62" s="101">
        <f t="shared" ref="G62" si="6">E62*F62</f>
        <v>41400</v>
      </c>
      <c r="H62" s="137"/>
      <c r="I62" s="113"/>
      <c r="J62" s="111"/>
    </row>
    <row r="63" spans="1:10" ht="12.75" customHeight="1" x14ac:dyDescent="0.2">
      <c r="A63" s="96"/>
      <c r="B63" s="120"/>
      <c r="C63" s="124" t="s">
        <v>349</v>
      </c>
      <c r="D63" s="125"/>
      <c r="E63" s="126">
        <v>1</v>
      </c>
      <c r="F63" s="109"/>
      <c r="G63" s="101"/>
      <c r="H63" s="137"/>
      <c r="I63" s="113"/>
      <c r="J63" s="111"/>
    </row>
    <row r="64" spans="1:10" ht="12.75" customHeight="1" x14ac:dyDescent="0.2">
      <c r="A64" s="96"/>
      <c r="B64" s="120"/>
      <c r="C64" s="124" t="s">
        <v>350</v>
      </c>
      <c r="D64" s="125"/>
      <c r="E64" s="126">
        <v>1</v>
      </c>
      <c r="F64" s="109"/>
      <c r="G64" s="101"/>
      <c r="H64" s="154"/>
      <c r="I64" s="113"/>
      <c r="J64" s="111"/>
    </row>
    <row r="65" spans="1:13" ht="44.25" customHeight="1" x14ac:dyDescent="0.2">
      <c r="A65" s="96">
        <v>12</v>
      </c>
      <c r="B65" s="120" t="s">
        <v>353</v>
      </c>
      <c r="C65" s="107" t="s">
        <v>122</v>
      </c>
      <c r="D65" s="99" t="s">
        <v>76</v>
      </c>
      <c r="E65" s="109">
        <f>SUM(E66:E67)</f>
        <v>3</v>
      </c>
      <c r="F65" s="109">
        <v>30400</v>
      </c>
      <c r="G65" s="101">
        <f t="shared" ref="G65:G68" si="7">E65*F65</f>
        <v>91200</v>
      </c>
      <c r="H65" s="147"/>
      <c r="I65" s="113"/>
      <c r="J65" s="111"/>
      <c r="K65" s="116"/>
      <c r="L65" s="116"/>
      <c r="M65" s="116"/>
    </row>
    <row r="66" spans="1:13" ht="12.75" customHeight="1" x14ac:dyDescent="0.2">
      <c r="A66" s="96"/>
      <c r="B66" s="120"/>
      <c r="C66" s="124" t="s">
        <v>354</v>
      </c>
      <c r="D66" s="125"/>
      <c r="E66" s="126">
        <v>2</v>
      </c>
      <c r="F66" s="109"/>
      <c r="G66" s="101"/>
      <c r="H66" s="147"/>
      <c r="I66" s="113"/>
      <c r="J66" s="111"/>
      <c r="K66" s="116"/>
      <c r="L66" s="116"/>
      <c r="M66" s="116"/>
    </row>
    <row r="67" spans="1:13" ht="12.75" customHeight="1" x14ac:dyDescent="0.2">
      <c r="A67" s="96"/>
      <c r="B67" s="120"/>
      <c r="C67" s="124" t="s">
        <v>350</v>
      </c>
      <c r="D67" s="125"/>
      <c r="E67" s="126">
        <v>1</v>
      </c>
      <c r="F67" s="109"/>
      <c r="G67" s="101"/>
      <c r="H67" s="115"/>
      <c r="I67" s="113"/>
      <c r="J67" s="111"/>
    </row>
    <row r="68" spans="1:13" ht="22.5" x14ac:dyDescent="0.2">
      <c r="A68" s="96">
        <v>13</v>
      </c>
      <c r="B68" s="120" t="s">
        <v>355</v>
      </c>
      <c r="C68" s="107" t="s">
        <v>124</v>
      </c>
      <c r="D68" s="99" t="s">
        <v>63</v>
      </c>
      <c r="E68" s="109">
        <f>SUM(E69:E73)</f>
        <v>45.44</v>
      </c>
      <c r="F68" s="109">
        <v>686</v>
      </c>
      <c r="G68" s="101">
        <f t="shared" si="7"/>
        <v>31171.84</v>
      </c>
      <c r="H68" s="137"/>
      <c r="I68" s="113"/>
      <c r="J68" s="111"/>
    </row>
    <row r="69" spans="1:13" x14ac:dyDescent="0.2">
      <c r="A69" s="96"/>
      <c r="B69" s="120"/>
      <c r="C69" s="124" t="s">
        <v>356</v>
      </c>
      <c r="D69" s="125"/>
      <c r="E69" s="126">
        <f>3.4*3.2+2*3.2</f>
        <v>17.28</v>
      </c>
      <c r="F69" s="109"/>
      <c r="G69" s="101"/>
      <c r="H69" s="115"/>
      <c r="I69" s="113"/>
      <c r="J69" s="111"/>
    </row>
    <row r="70" spans="1:13" x14ac:dyDescent="0.2">
      <c r="A70" s="96"/>
      <c r="B70" s="120"/>
      <c r="C70" s="124" t="s">
        <v>357</v>
      </c>
      <c r="D70" s="125"/>
      <c r="E70" s="126">
        <f>2.2*3.2</f>
        <v>7.0400000000000009</v>
      </c>
      <c r="F70" s="109"/>
      <c r="G70" s="101"/>
      <c r="H70" s="115"/>
      <c r="I70" s="113"/>
      <c r="J70" s="111"/>
    </row>
    <row r="71" spans="1:13" x14ac:dyDescent="0.2">
      <c r="A71" s="96"/>
      <c r="B71" s="120"/>
      <c r="C71" s="124" t="s">
        <v>358</v>
      </c>
      <c r="D71" s="125"/>
      <c r="E71" s="126">
        <f>2.2*3.2</f>
        <v>7.0400000000000009</v>
      </c>
      <c r="F71" s="109"/>
      <c r="G71" s="101"/>
      <c r="H71" s="115"/>
      <c r="I71" s="113"/>
      <c r="J71" s="111"/>
    </row>
    <row r="72" spans="1:13" x14ac:dyDescent="0.2">
      <c r="A72" s="96"/>
      <c r="B72" s="120"/>
      <c r="C72" s="124" t="s">
        <v>359</v>
      </c>
      <c r="D72" s="125"/>
      <c r="E72" s="126">
        <f>2.2*3.2</f>
        <v>7.0400000000000009</v>
      </c>
      <c r="F72" s="109"/>
      <c r="G72" s="101"/>
      <c r="H72" s="115"/>
      <c r="I72" s="113"/>
      <c r="J72" s="111"/>
    </row>
    <row r="73" spans="1:13" x14ac:dyDescent="0.2">
      <c r="A73" s="96"/>
      <c r="B73" s="120"/>
      <c r="C73" s="124" t="s">
        <v>360</v>
      </c>
      <c r="D73" s="125"/>
      <c r="E73" s="126">
        <f>2.2*3.2</f>
        <v>7.0400000000000009</v>
      </c>
      <c r="F73" s="109"/>
      <c r="G73" s="101"/>
      <c r="H73" s="115"/>
      <c r="I73" s="113"/>
      <c r="J73" s="111"/>
    </row>
    <row r="74" spans="1:13" ht="22.5" x14ac:dyDescent="0.2">
      <c r="A74" s="96">
        <v>14</v>
      </c>
      <c r="B74" s="120" t="s">
        <v>361</v>
      </c>
      <c r="C74" s="107" t="s">
        <v>281</v>
      </c>
      <c r="D74" s="99" t="s">
        <v>63</v>
      </c>
      <c r="E74" s="109">
        <f>SUM(E75:E75)</f>
        <v>19.72</v>
      </c>
      <c r="F74" s="109">
        <v>1658</v>
      </c>
      <c r="G74" s="101">
        <f t="shared" ref="G74" si="8">E74*F74</f>
        <v>32695.759999999998</v>
      </c>
      <c r="H74" s="137"/>
      <c r="I74" s="113"/>
      <c r="J74" s="111"/>
    </row>
    <row r="75" spans="1:13" x14ac:dyDescent="0.2">
      <c r="A75" s="96"/>
      <c r="B75" s="120"/>
      <c r="C75" s="124" t="s">
        <v>362</v>
      </c>
      <c r="D75" s="125"/>
      <c r="E75" s="126">
        <f>3.6*3.4+2.2*3.4</f>
        <v>19.72</v>
      </c>
      <c r="F75" s="109"/>
      <c r="G75" s="101"/>
      <c r="H75" s="115"/>
      <c r="I75" s="113"/>
      <c r="J75" s="111"/>
    </row>
    <row r="76" spans="1:13" x14ac:dyDescent="0.2">
      <c r="A76" s="102"/>
      <c r="B76" s="121" t="s">
        <v>81</v>
      </c>
      <c r="C76" s="104" t="str">
        <f>CONCATENATE(B51," ",C51)</f>
        <v>64 Výplně otvorů</v>
      </c>
      <c r="D76" s="102"/>
      <c r="E76" s="118"/>
      <c r="F76" s="105"/>
      <c r="G76" s="106">
        <f>SUM(G51:G75)</f>
        <v>391467.60000000003</v>
      </c>
      <c r="I76" s="114"/>
      <c r="J76" s="111"/>
    </row>
    <row r="77" spans="1:13" x14ac:dyDescent="0.2">
      <c r="A77" s="90" t="s">
        <v>58</v>
      </c>
      <c r="B77" s="119" t="s">
        <v>129</v>
      </c>
      <c r="C77" s="92" t="s">
        <v>130</v>
      </c>
      <c r="D77" s="93"/>
      <c r="E77" s="117"/>
      <c r="F77" s="94"/>
      <c r="G77" s="95"/>
      <c r="I77" s="112"/>
      <c r="J77" s="111"/>
    </row>
    <row r="78" spans="1:13" ht="12.75" customHeight="1" x14ac:dyDescent="0.2">
      <c r="A78" s="96">
        <v>15</v>
      </c>
      <c r="B78" s="120" t="s">
        <v>131</v>
      </c>
      <c r="C78" s="98" t="s">
        <v>132</v>
      </c>
      <c r="D78" s="99" t="s">
        <v>63</v>
      </c>
      <c r="E78" s="109">
        <f>SUM(E79:E83)</f>
        <v>166.24</v>
      </c>
      <c r="F78" s="100">
        <v>400</v>
      </c>
      <c r="G78" s="101">
        <f t="shared" ref="G78:G86" si="9">E78*F78</f>
        <v>66496</v>
      </c>
      <c r="I78" s="113"/>
      <c r="J78" s="111"/>
    </row>
    <row r="79" spans="1:13" ht="12.75" customHeight="1" x14ac:dyDescent="0.2">
      <c r="A79" s="96"/>
      <c r="B79" s="120"/>
      <c r="C79" s="124" t="s">
        <v>363</v>
      </c>
      <c r="D79" s="125"/>
      <c r="E79" s="126">
        <f>6.7*10.4</f>
        <v>69.680000000000007</v>
      </c>
      <c r="F79" s="100"/>
      <c r="G79" s="101"/>
      <c r="I79" s="113"/>
      <c r="J79" s="111"/>
    </row>
    <row r="80" spans="1:13" ht="12.75" customHeight="1" x14ac:dyDescent="0.2">
      <c r="A80" s="96"/>
      <c r="B80" s="120"/>
      <c r="C80" s="124" t="s">
        <v>322</v>
      </c>
      <c r="D80" s="125"/>
      <c r="E80" s="126">
        <f>3.2*6.8</f>
        <v>21.76</v>
      </c>
      <c r="F80" s="100"/>
      <c r="G80" s="101"/>
      <c r="I80" s="113"/>
      <c r="J80" s="111"/>
    </row>
    <row r="81" spans="1:10" ht="12.75" customHeight="1" x14ac:dyDescent="0.2">
      <c r="A81" s="96"/>
      <c r="B81" s="120"/>
      <c r="C81" s="124" t="s">
        <v>323</v>
      </c>
      <c r="D81" s="125"/>
      <c r="E81" s="126">
        <f>3.7*6.8</f>
        <v>25.16</v>
      </c>
      <c r="F81" s="100"/>
      <c r="G81" s="101"/>
      <c r="I81" s="113"/>
      <c r="J81" s="111"/>
    </row>
    <row r="82" spans="1:10" ht="12.75" customHeight="1" x14ac:dyDescent="0.2">
      <c r="A82" s="96"/>
      <c r="B82" s="120"/>
      <c r="C82" s="124" t="s">
        <v>324</v>
      </c>
      <c r="D82" s="125"/>
      <c r="E82" s="126">
        <f>3.7*6.8</f>
        <v>25.16</v>
      </c>
      <c r="F82" s="100"/>
      <c r="G82" s="101"/>
      <c r="I82" s="113"/>
      <c r="J82" s="111"/>
    </row>
    <row r="83" spans="1:10" ht="12.75" customHeight="1" x14ac:dyDescent="0.2">
      <c r="A83" s="96"/>
      <c r="B83" s="120"/>
      <c r="C83" s="124" t="s">
        <v>325</v>
      </c>
      <c r="D83" s="125"/>
      <c r="E83" s="126">
        <f>3.6*6.8</f>
        <v>24.48</v>
      </c>
      <c r="F83" s="100"/>
      <c r="G83" s="101"/>
      <c r="I83" s="113"/>
      <c r="J83" s="111"/>
    </row>
    <row r="84" spans="1:10" ht="60" customHeight="1" x14ac:dyDescent="0.2">
      <c r="A84" s="96">
        <v>16</v>
      </c>
      <c r="B84" s="120" t="s">
        <v>133</v>
      </c>
      <c r="C84" s="98" t="s">
        <v>134</v>
      </c>
      <c r="D84" s="99" t="s">
        <v>135</v>
      </c>
      <c r="E84" s="109">
        <v>1</v>
      </c>
      <c r="F84" s="100">
        <v>72100</v>
      </c>
      <c r="G84" s="101">
        <f t="shared" ref="G84:G85" si="10">E84*F84</f>
        <v>72100</v>
      </c>
      <c r="I84" s="113"/>
      <c r="J84" s="111"/>
    </row>
    <row r="85" spans="1:10" ht="24.95" customHeight="1" x14ac:dyDescent="0.2">
      <c r="A85" s="96">
        <v>17</v>
      </c>
      <c r="B85" s="120" t="s">
        <v>136</v>
      </c>
      <c r="C85" s="98" t="s">
        <v>137</v>
      </c>
      <c r="D85" s="99" t="s">
        <v>135</v>
      </c>
      <c r="E85" s="109">
        <v>1</v>
      </c>
      <c r="F85" s="100">
        <v>78706.056000000011</v>
      </c>
      <c r="G85" s="101">
        <f t="shared" si="10"/>
        <v>78706.056000000011</v>
      </c>
      <c r="I85" s="113"/>
      <c r="J85" s="111"/>
    </row>
    <row r="86" spans="1:10" x14ac:dyDescent="0.2">
      <c r="A86" s="96">
        <v>18</v>
      </c>
      <c r="B86" s="120" t="s">
        <v>138</v>
      </c>
      <c r="C86" s="98" t="s">
        <v>139</v>
      </c>
      <c r="D86" s="99" t="s">
        <v>63</v>
      </c>
      <c r="E86" s="109">
        <f>E78</f>
        <v>166.24</v>
      </c>
      <c r="F86" s="100">
        <v>74</v>
      </c>
      <c r="G86" s="101">
        <f t="shared" si="9"/>
        <v>12301.76</v>
      </c>
      <c r="I86" s="113"/>
      <c r="J86" s="111"/>
    </row>
    <row r="87" spans="1:10" x14ac:dyDescent="0.2">
      <c r="A87" s="102"/>
      <c r="B87" s="121" t="s">
        <v>81</v>
      </c>
      <c r="C87" s="104" t="str">
        <f>CONCATENATE(B77," ",C77)</f>
        <v>9 Ostatní konstrukce a práce</v>
      </c>
      <c r="D87" s="102"/>
      <c r="E87" s="118"/>
      <c r="F87" s="105"/>
      <c r="G87" s="106">
        <f>SUM(G77:G86)</f>
        <v>229603.81600000002</v>
      </c>
      <c r="I87" s="114"/>
      <c r="J87" s="111"/>
    </row>
    <row r="88" spans="1:10" x14ac:dyDescent="0.2">
      <c r="A88" s="90" t="s">
        <v>58</v>
      </c>
      <c r="B88" s="119" t="s">
        <v>140</v>
      </c>
      <c r="C88" s="92" t="s">
        <v>141</v>
      </c>
      <c r="D88" s="93"/>
      <c r="E88" s="117"/>
      <c r="F88" s="94"/>
      <c r="G88" s="95"/>
      <c r="I88" s="112"/>
      <c r="J88" s="111"/>
    </row>
    <row r="89" spans="1:10" x14ac:dyDescent="0.2">
      <c r="A89" s="96">
        <v>19</v>
      </c>
      <c r="B89" s="120" t="s">
        <v>142</v>
      </c>
      <c r="C89" s="98" t="s">
        <v>143</v>
      </c>
      <c r="D89" s="99" t="s">
        <v>63</v>
      </c>
      <c r="E89" s="109">
        <v>400</v>
      </c>
      <c r="F89" s="100">
        <v>50</v>
      </c>
      <c r="G89" s="101">
        <f>E89*F89</f>
        <v>20000</v>
      </c>
      <c r="I89" s="113"/>
      <c r="J89" s="111"/>
    </row>
    <row r="90" spans="1:10" x14ac:dyDescent="0.2">
      <c r="A90" s="102"/>
      <c r="B90" s="121" t="s">
        <v>81</v>
      </c>
      <c r="C90" s="104" t="str">
        <f>CONCATENATE(B88," ",C88)</f>
        <v>94 Lešení a stavební výtahy</v>
      </c>
      <c r="D90" s="102"/>
      <c r="E90" s="118"/>
      <c r="F90" s="105"/>
      <c r="G90" s="106">
        <f>SUM(G88:G89)</f>
        <v>20000</v>
      </c>
      <c r="I90" s="114"/>
      <c r="J90" s="111"/>
    </row>
    <row r="91" spans="1:10" x14ac:dyDescent="0.2">
      <c r="A91" s="90" t="s">
        <v>58</v>
      </c>
      <c r="B91" s="119" t="s">
        <v>144</v>
      </c>
      <c r="C91" s="92" t="s">
        <v>145</v>
      </c>
      <c r="D91" s="93"/>
      <c r="E91" s="117"/>
      <c r="F91" s="94"/>
      <c r="G91" s="95"/>
      <c r="I91" s="112"/>
      <c r="J91" s="111"/>
    </row>
    <row r="92" spans="1:10" x14ac:dyDescent="0.2">
      <c r="A92" s="96">
        <v>20</v>
      </c>
      <c r="B92" s="120" t="s">
        <v>146</v>
      </c>
      <c r="C92" s="98" t="s">
        <v>147</v>
      </c>
      <c r="D92" s="99" t="s">
        <v>63</v>
      </c>
      <c r="E92" s="109">
        <f>SUM(E93:E97)</f>
        <v>23.639999999999997</v>
      </c>
      <c r="F92" s="100">
        <v>75</v>
      </c>
      <c r="G92" s="101">
        <f t="shared" ref="G92" si="11">E92*F92</f>
        <v>1772.9999999999998</v>
      </c>
      <c r="H92" s="136"/>
      <c r="I92" s="113"/>
      <c r="J92" s="111"/>
    </row>
    <row r="93" spans="1:10" x14ac:dyDescent="0.2">
      <c r="A93" s="96"/>
      <c r="B93" s="120"/>
      <c r="C93" s="124" t="s">
        <v>336</v>
      </c>
      <c r="D93" s="125"/>
      <c r="E93" s="126">
        <f>1.7*1.2+3.1*1.2</f>
        <v>5.76</v>
      </c>
      <c r="F93" s="100"/>
      <c r="G93" s="101"/>
      <c r="I93" s="113"/>
      <c r="J93" s="111"/>
    </row>
    <row r="94" spans="1:10" x14ac:dyDescent="0.2">
      <c r="A94" s="96"/>
      <c r="B94" s="120"/>
      <c r="C94" s="124" t="s">
        <v>337</v>
      </c>
      <c r="D94" s="125"/>
      <c r="E94" s="126">
        <f>1.9*1.3</f>
        <v>2.4699999999999998</v>
      </c>
      <c r="F94" s="100"/>
      <c r="G94" s="101"/>
      <c r="I94" s="113"/>
      <c r="J94" s="111"/>
    </row>
    <row r="95" spans="1:10" x14ac:dyDescent="0.2">
      <c r="A95" s="96"/>
      <c r="B95" s="120"/>
      <c r="C95" s="124" t="s">
        <v>338</v>
      </c>
      <c r="D95" s="125"/>
      <c r="E95" s="126">
        <f>2*2+1.9*1.3</f>
        <v>6.47</v>
      </c>
      <c r="F95" s="100"/>
      <c r="G95" s="101"/>
      <c r="I95" s="113"/>
      <c r="J95" s="111"/>
    </row>
    <row r="96" spans="1:10" x14ac:dyDescent="0.2">
      <c r="A96" s="96"/>
      <c r="B96" s="120"/>
      <c r="C96" s="124" t="s">
        <v>339</v>
      </c>
      <c r="D96" s="125"/>
      <c r="E96" s="126">
        <f>2*2+1.9*1.3</f>
        <v>6.47</v>
      </c>
      <c r="F96" s="100"/>
      <c r="G96" s="101"/>
      <c r="I96" s="113"/>
      <c r="J96" s="111"/>
    </row>
    <row r="97" spans="1:10" x14ac:dyDescent="0.2">
      <c r="A97" s="96"/>
      <c r="B97" s="120"/>
      <c r="C97" s="124" t="s">
        <v>340</v>
      </c>
      <c r="D97" s="125"/>
      <c r="E97" s="126">
        <f>1.9*1.3</f>
        <v>2.4699999999999998</v>
      </c>
      <c r="F97" s="100"/>
      <c r="G97" s="101"/>
      <c r="I97" s="113"/>
      <c r="J97" s="111"/>
    </row>
    <row r="98" spans="1:10" x14ac:dyDescent="0.2">
      <c r="A98" s="96">
        <v>21</v>
      </c>
      <c r="B98" s="120" t="s">
        <v>148</v>
      </c>
      <c r="C98" s="98" t="s">
        <v>149</v>
      </c>
      <c r="D98" s="99" t="s">
        <v>63</v>
      </c>
      <c r="E98" s="109">
        <f>SUM(E99:E103)</f>
        <v>23.639999999999997</v>
      </c>
      <c r="F98" s="100">
        <v>84</v>
      </c>
      <c r="G98" s="101">
        <f t="shared" ref="G98" si="12">E98*F98</f>
        <v>1985.7599999999998</v>
      </c>
      <c r="H98" s="136"/>
      <c r="I98" s="113"/>
      <c r="J98" s="111"/>
    </row>
    <row r="99" spans="1:10" x14ac:dyDescent="0.2">
      <c r="A99" s="96"/>
      <c r="B99" s="120"/>
      <c r="C99" s="124" t="s">
        <v>336</v>
      </c>
      <c r="D99" s="125"/>
      <c r="E99" s="126">
        <f>1.7*1.2+3.1*1.2</f>
        <v>5.76</v>
      </c>
      <c r="F99" s="100"/>
      <c r="G99" s="101"/>
      <c r="I99" s="113"/>
      <c r="J99" s="111"/>
    </row>
    <row r="100" spans="1:10" x14ac:dyDescent="0.2">
      <c r="A100" s="96"/>
      <c r="B100" s="120"/>
      <c r="C100" s="124" t="s">
        <v>337</v>
      </c>
      <c r="D100" s="125"/>
      <c r="E100" s="126">
        <f>1.9*1.3</f>
        <v>2.4699999999999998</v>
      </c>
      <c r="F100" s="100"/>
      <c r="G100" s="101"/>
      <c r="I100" s="113"/>
      <c r="J100" s="111"/>
    </row>
    <row r="101" spans="1:10" x14ac:dyDescent="0.2">
      <c r="A101" s="96"/>
      <c r="B101" s="120"/>
      <c r="C101" s="124" t="s">
        <v>338</v>
      </c>
      <c r="D101" s="125"/>
      <c r="E101" s="126">
        <f>2*2+1.9*1.3</f>
        <v>6.47</v>
      </c>
      <c r="F101" s="100"/>
      <c r="G101" s="101"/>
      <c r="I101" s="113"/>
      <c r="J101" s="111"/>
    </row>
    <row r="102" spans="1:10" x14ac:dyDescent="0.2">
      <c r="A102" s="96"/>
      <c r="B102" s="120"/>
      <c r="C102" s="124" t="s">
        <v>339</v>
      </c>
      <c r="D102" s="125"/>
      <c r="E102" s="126">
        <f>2*2+1.9*1.3</f>
        <v>6.47</v>
      </c>
      <c r="F102" s="100"/>
      <c r="G102" s="101"/>
      <c r="I102" s="113"/>
      <c r="J102" s="111"/>
    </row>
    <row r="103" spans="1:10" x14ac:dyDescent="0.2">
      <c r="A103" s="96"/>
      <c r="B103" s="120"/>
      <c r="C103" s="124" t="s">
        <v>340</v>
      </c>
      <c r="D103" s="125"/>
      <c r="E103" s="126">
        <f>1.9*1.3</f>
        <v>2.4699999999999998</v>
      </c>
      <c r="F103" s="100"/>
      <c r="G103" s="101"/>
      <c r="I103" s="113"/>
      <c r="J103" s="111"/>
    </row>
    <row r="104" spans="1:10" x14ac:dyDescent="0.2">
      <c r="A104" s="96">
        <v>22</v>
      </c>
      <c r="B104" s="120" t="s">
        <v>150</v>
      </c>
      <c r="C104" s="107" t="s">
        <v>151</v>
      </c>
      <c r="D104" s="99" t="s">
        <v>152</v>
      </c>
      <c r="E104" s="109">
        <v>12.8</v>
      </c>
      <c r="F104" s="100">
        <v>383</v>
      </c>
      <c r="G104" s="101">
        <f t="shared" ref="G104:G108" si="13">E104*F104</f>
        <v>4902.4000000000005</v>
      </c>
      <c r="H104" s="116"/>
      <c r="I104" s="113"/>
      <c r="J104" s="111"/>
    </row>
    <row r="105" spans="1:10" x14ac:dyDescent="0.2">
      <c r="A105" s="96">
        <v>23</v>
      </c>
      <c r="B105" s="120" t="s">
        <v>153</v>
      </c>
      <c r="C105" s="107" t="s">
        <v>154</v>
      </c>
      <c r="D105" s="99" t="s">
        <v>152</v>
      </c>
      <c r="E105" s="109">
        <f>12.8*4</f>
        <v>51.2</v>
      </c>
      <c r="F105" s="100">
        <v>42</v>
      </c>
      <c r="G105" s="101">
        <f t="shared" si="13"/>
        <v>2150.4</v>
      </c>
      <c r="H105" s="116"/>
      <c r="I105" s="113"/>
      <c r="J105" s="111"/>
    </row>
    <row r="106" spans="1:10" x14ac:dyDescent="0.2">
      <c r="A106" s="96">
        <v>24</v>
      </c>
      <c r="B106" s="120" t="s">
        <v>155</v>
      </c>
      <c r="C106" s="107" t="s">
        <v>156</v>
      </c>
      <c r="D106" s="99" t="s">
        <v>152</v>
      </c>
      <c r="E106" s="109">
        <v>12.8</v>
      </c>
      <c r="F106" s="100">
        <v>365</v>
      </c>
      <c r="G106" s="101">
        <f t="shared" si="13"/>
        <v>4672</v>
      </c>
      <c r="H106" s="116"/>
      <c r="I106" s="113"/>
      <c r="J106" s="111"/>
    </row>
    <row r="107" spans="1:10" x14ac:dyDescent="0.2">
      <c r="A107" s="96">
        <v>25</v>
      </c>
      <c r="B107" s="120" t="s">
        <v>157</v>
      </c>
      <c r="C107" s="107" t="s">
        <v>158</v>
      </c>
      <c r="D107" s="99" t="s">
        <v>152</v>
      </c>
      <c r="E107" s="109">
        <f>12.8*19</f>
        <v>243.20000000000002</v>
      </c>
      <c r="F107" s="100">
        <v>14</v>
      </c>
      <c r="G107" s="101">
        <f t="shared" si="13"/>
        <v>3404.8</v>
      </c>
      <c r="H107" s="116"/>
      <c r="I107" s="113"/>
      <c r="J107" s="111"/>
    </row>
    <row r="108" spans="1:10" x14ac:dyDescent="0.2">
      <c r="A108" s="96">
        <v>26</v>
      </c>
      <c r="B108" s="120" t="s">
        <v>159</v>
      </c>
      <c r="C108" s="107" t="s">
        <v>160</v>
      </c>
      <c r="D108" s="99" t="s">
        <v>152</v>
      </c>
      <c r="E108" s="109">
        <v>12.8</v>
      </c>
      <c r="F108" s="100">
        <v>350</v>
      </c>
      <c r="G108" s="101">
        <f t="shared" si="13"/>
        <v>4480</v>
      </c>
      <c r="H108" s="116"/>
      <c r="I108" s="113"/>
      <c r="J108" s="111"/>
    </row>
    <row r="109" spans="1:10" x14ac:dyDescent="0.2">
      <c r="A109" s="102"/>
      <c r="B109" s="121" t="s">
        <v>81</v>
      </c>
      <c r="C109" s="104" t="str">
        <f>CONCATENATE(B91," ",C91)</f>
        <v>96 Bourání konstrukcí</v>
      </c>
      <c r="D109" s="102"/>
      <c r="E109" s="118"/>
      <c r="F109" s="105"/>
      <c r="G109" s="106">
        <f>SUM(G91:G108)</f>
        <v>23368.36</v>
      </c>
      <c r="H109" s="116"/>
      <c r="I109" s="114"/>
      <c r="J109" s="111"/>
    </row>
    <row r="110" spans="1:10" x14ac:dyDescent="0.2">
      <c r="A110" s="90" t="s">
        <v>58</v>
      </c>
      <c r="B110" s="119" t="s">
        <v>161</v>
      </c>
      <c r="C110" s="92" t="s">
        <v>162</v>
      </c>
      <c r="D110" s="93"/>
      <c r="E110" s="117"/>
      <c r="F110" s="94"/>
      <c r="G110" s="95"/>
      <c r="I110" s="112"/>
      <c r="J110" s="111"/>
    </row>
    <row r="111" spans="1:10" x14ac:dyDescent="0.2">
      <c r="A111" s="96">
        <v>27</v>
      </c>
      <c r="B111" s="120" t="s">
        <v>163</v>
      </c>
      <c r="C111" s="107" t="s">
        <v>164</v>
      </c>
      <c r="D111" s="99" t="s">
        <v>152</v>
      </c>
      <c r="E111" s="109">
        <v>22.6</v>
      </c>
      <c r="F111" s="100">
        <v>880</v>
      </c>
      <c r="G111" s="101">
        <f>E111*F111</f>
        <v>19888</v>
      </c>
      <c r="H111" s="116"/>
      <c r="I111" s="113"/>
      <c r="J111" s="111"/>
    </row>
    <row r="112" spans="1:10" x14ac:dyDescent="0.2">
      <c r="A112" s="102"/>
      <c r="B112" s="121" t="s">
        <v>81</v>
      </c>
      <c r="C112" s="104" t="str">
        <f>CONCATENATE(B110," ",C110)</f>
        <v>99 Staveništní přesun hmot</v>
      </c>
      <c r="D112" s="102"/>
      <c r="E112" s="118"/>
      <c r="F112" s="105"/>
      <c r="G112" s="106">
        <f>SUM(G110:G111)</f>
        <v>19888</v>
      </c>
      <c r="I112" s="114"/>
      <c r="J112" s="111"/>
    </row>
    <row r="113" spans="1:12" x14ac:dyDescent="0.2">
      <c r="A113" s="90" t="s">
        <v>58</v>
      </c>
      <c r="B113" s="119" t="s">
        <v>165</v>
      </c>
      <c r="C113" s="92" t="s">
        <v>166</v>
      </c>
      <c r="D113" s="93"/>
      <c r="E113" s="117"/>
      <c r="F113" s="94"/>
      <c r="G113" s="95"/>
      <c r="I113" s="112"/>
      <c r="J113" s="111"/>
      <c r="K113" s="111"/>
      <c r="L113" s="111"/>
    </row>
    <row r="114" spans="1:12" x14ac:dyDescent="0.2">
      <c r="A114" s="96">
        <v>28</v>
      </c>
      <c r="B114" s="120" t="s">
        <v>167</v>
      </c>
      <c r="C114" s="107" t="s">
        <v>168</v>
      </c>
      <c r="D114" s="99" t="s">
        <v>76</v>
      </c>
      <c r="E114" s="109">
        <v>3</v>
      </c>
      <c r="F114" s="109">
        <v>446</v>
      </c>
      <c r="G114" s="101">
        <f>E114*F114</f>
        <v>1338</v>
      </c>
      <c r="H114" s="136"/>
      <c r="I114" s="113"/>
      <c r="J114" s="113"/>
      <c r="K114" s="111"/>
      <c r="L114" s="111"/>
    </row>
    <row r="115" spans="1:12" x14ac:dyDescent="0.2">
      <c r="A115" s="96">
        <v>29</v>
      </c>
      <c r="B115" s="120" t="s">
        <v>169</v>
      </c>
      <c r="C115" s="107" t="s">
        <v>170</v>
      </c>
      <c r="D115" s="99" t="s">
        <v>76</v>
      </c>
      <c r="E115" s="109">
        <v>3</v>
      </c>
      <c r="F115" s="109">
        <v>191</v>
      </c>
      <c r="G115" s="101">
        <f t="shared" ref="G115:G118" si="14">E115*F115</f>
        <v>573</v>
      </c>
      <c r="H115" s="136"/>
      <c r="I115" s="113"/>
      <c r="J115" s="113"/>
      <c r="K115" s="111"/>
      <c r="L115" s="111"/>
    </row>
    <row r="116" spans="1:12" ht="33.75" x14ac:dyDescent="0.2">
      <c r="A116" s="96">
        <v>30</v>
      </c>
      <c r="B116" s="120" t="s">
        <v>171</v>
      </c>
      <c r="C116" s="107" t="s">
        <v>364</v>
      </c>
      <c r="D116" s="99" t="s">
        <v>135</v>
      </c>
      <c r="E116" s="109">
        <v>2</v>
      </c>
      <c r="F116" s="109">
        <v>1275</v>
      </c>
      <c r="G116" s="101">
        <f t="shared" si="14"/>
        <v>2550</v>
      </c>
      <c r="H116" s="136"/>
      <c r="I116" s="113"/>
      <c r="J116" s="113"/>
      <c r="K116" s="111"/>
      <c r="L116" s="111"/>
    </row>
    <row r="117" spans="1:12" ht="22.5" x14ac:dyDescent="0.2">
      <c r="A117" s="96">
        <v>31</v>
      </c>
      <c r="B117" s="120" t="s">
        <v>173</v>
      </c>
      <c r="C117" s="107" t="s">
        <v>365</v>
      </c>
      <c r="D117" s="99" t="s">
        <v>76</v>
      </c>
      <c r="E117" s="109">
        <v>1</v>
      </c>
      <c r="F117" s="109">
        <v>4394</v>
      </c>
      <c r="G117" s="101">
        <f t="shared" si="14"/>
        <v>4394</v>
      </c>
      <c r="H117" s="136"/>
      <c r="I117" s="113"/>
      <c r="J117" s="113"/>
      <c r="K117" s="111"/>
    </row>
    <row r="118" spans="1:12" x14ac:dyDescent="0.2">
      <c r="A118" s="96">
        <v>32</v>
      </c>
      <c r="B118" s="120" t="s">
        <v>366</v>
      </c>
      <c r="C118" s="98" t="s">
        <v>174</v>
      </c>
      <c r="D118" s="99" t="s">
        <v>175</v>
      </c>
      <c r="E118" s="109">
        <v>7.5</v>
      </c>
      <c r="F118" s="109">
        <v>500</v>
      </c>
      <c r="G118" s="101">
        <f t="shared" si="14"/>
        <v>3750</v>
      </c>
      <c r="H118" s="137"/>
      <c r="I118" s="113"/>
      <c r="J118" s="111"/>
    </row>
    <row r="119" spans="1:12" x14ac:dyDescent="0.2">
      <c r="A119" s="102"/>
      <c r="B119" s="121" t="s">
        <v>81</v>
      </c>
      <c r="C119" s="104" t="str">
        <f>CONCATENATE(B113," ",C113)</f>
        <v>720 Zdravotechnická instalace</v>
      </c>
      <c r="D119" s="102"/>
      <c r="E119" s="118"/>
      <c r="F119" s="105"/>
      <c r="G119" s="106">
        <f>SUM(G113:G118)</f>
        <v>12605</v>
      </c>
      <c r="I119" s="114"/>
      <c r="J119" s="111"/>
    </row>
    <row r="120" spans="1:12" x14ac:dyDescent="0.2">
      <c r="A120" s="90" t="s">
        <v>58</v>
      </c>
      <c r="B120" s="119" t="s">
        <v>176</v>
      </c>
      <c r="C120" s="92" t="s">
        <v>177</v>
      </c>
      <c r="D120" s="93"/>
      <c r="E120" s="117"/>
      <c r="F120" s="94"/>
      <c r="G120" s="95"/>
      <c r="I120" s="112"/>
      <c r="J120" s="111"/>
      <c r="K120" s="111"/>
      <c r="L120" s="111"/>
    </row>
    <row r="121" spans="1:12" x14ac:dyDescent="0.2">
      <c r="A121" s="96">
        <v>33</v>
      </c>
      <c r="B121" s="120" t="s">
        <v>178</v>
      </c>
      <c r="C121" s="107" t="s">
        <v>179</v>
      </c>
      <c r="D121" s="99" t="s">
        <v>76</v>
      </c>
      <c r="E121" s="109">
        <v>6</v>
      </c>
      <c r="F121" s="109">
        <v>488</v>
      </c>
      <c r="G121" s="101">
        <f>E121*F121</f>
        <v>2928</v>
      </c>
      <c r="H121" s="136"/>
      <c r="I121" s="113"/>
      <c r="J121" s="113"/>
    </row>
    <row r="122" spans="1:12" ht="22.5" x14ac:dyDescent="0.2">
      <c r="A122" s="96">
        <v>34</v>
      </c>
      <c r="B122" s="120" t="s">
        <v>180</v>
      </c>
      <c r="C122" s="107" t="s">
        <v>181</v>
      </c>
      <c r="D122" s="99" t="s">
        <v>135</v>
      </c>
      <c r="E122" s="109">
        <v>6</v>
      </c>
      <c r="F122" s="109">
        <v>825</v>
      </c>
      <c r="G122" s="101">
        <f t="shared" ref="G122:G130" si="15">E122*F122</f>
        <v>4950</v>
      </c>
      <c r="H122" s="136"/>
      <c r="I122" s="113"/>
      <c r="J122" s="111"/>
    </row>
    <row r="123" spans="1:12" ht="56.25" x14ac:dyDescent="0.2">
      <c r="A123" s="96">
        <v>35</v>
      </c>
      <c r="B123" s="120" t="s">
        <v>182</v>
      </c>
      <c r="C123" s="107" t="s">
        <v>367</v>
      </c>
      <c r="D123" s="99" t="s">
        <v>76</v>
      </c>
      <c r="E123" s="109">
        <v>1</v>
      </c>
      <c r="F123" s="109">
        <v>6240</v>
      </c>
      <c r="G123" s="101">
        <f t="shared" si="15"/>
        <v>6240</v>
      </c>
      <c r="H123" s="136"/>
      <c r="I123" s="113"/>
      <c r="J123" s="111"/>
    </row>
    <row r="124" spans="1:12" ht="56.25" x14ac:dyDescent="0.2">
      <c r="A124" s="96">
        <v>36</v>
      </c>
      <c r="B124" s="120" t="s">
        <v>184</v>
      </c>
      <c r="C124" s="107" t="s">
        <v>368</v>
      </c>
      <c r="D124" s="99" t="s">
        <v>76</v>
      </c>
      <c r="E124" s="109">
        <v>1</v>
      </c>
      <c r="F124" s="109">
        <v>6240</v>
      </c>
      <c r="G124" s="101">
        <f t="shared" si="15"/>
        <v>6240</v>
      </c>
      <c r="H124" s="136"/>
      <c r="I124" s="113"/>
      <c r="J124" s="111"/>
    </row>
    <row r="125" spans="1:12" ht="56.25" x14ac:dyDescent="0.2">
      <c r="A125" s="96">
        <v>37</v>
      </c>
      <c r="B125" s="120" t="s">
        <v>186</v>
      </c>
      <c r="C125" s="107" t="s">
        <v>369</v>
      </c>
      <c r="D125" s="99" t="s">
        <v>76</v>
      </c>
      <c r="E125" s="109">
        <v>1</v>
      </c>
      <c r="F125" s="109">
        <v>6240</v>
      </c>
      <c r="G125" s="101">
        <f t="shared" si="15"/>
        <v>6240</v>
      </c>
      <c r="H125" s="136"/>
      <c r="I125" s="113"/>
      <c r="J125" s="111"/>
    </row>
    <row r="126" spans="1:12" ht="56.25" x14ac:dyDescent="0.2">
      <c r="A126" s="96">
        <v>38</v>
      </c>
      <c r="B126" s="120" t="s">
        <v>188</v>
      </c>
      <c r="C126" s="107" t="s">
        <v>370</v>
      </c>
      <c r="D126" s="99" t="s">
        <v>76</v>
      </c>
      <c r="E126" s="109">
        <v>1</v>
      </c>
      <c r="F126" s="109">
        <v>5816</v>
      </c>
      <c r="G126" s="101">
        <f t="shared" si="15"/>
        <v>5816</v>
      </c>
      <c r="H126" s="136"/>
      <c r="I126" s="113"/>
      <c r="J126" s="111"/>
    </row>
    <row r="127" spans="1:12" ht="56.25" x14ac:dyDescent="0.2">
      <c r="A127" s="96">
        <v>39</v>
      </c>
      <c r="B127" s="120" t="s">
        <v>190</v>
      </c>
      <c r="C127" s="107" t="s">
        <v>371</v>
      </c>
      <c r="D127" s="99" t="s">
        <v>76</v>
      </c>
      <c r="E127" s="109">
        <v>2</v>
      </c>
      <c r="F127" s="109">
        <v>7866</v>
      </c>
      <c r="G127" s="101">
        <f t="shared" si="15"/>
        <v>15732</v>
      </c>
      <c r="H127" s="136"/>
      <c r="I127" s="113"/>
      <c r="J127" s="111"/>
    </row>
    <row r="128" spans="1:12" ht="22.5" x14ac:dyDescent="0.2">
      <c r="A128" s="96">
        <v>40</v>
      </c>
      <c r="B128" s="120" t="s">
        <v>192</v>
      </c>
      <c r="C128" s="107" t="s">
        <v>191</v>
      </c>
      <c r="D128" s="99" t="s">
        <v>135</v>
      </c>
      <c r="E128" s="109">
        <v>6</v>
      </c>
      <c r="F128" s="109">
        <v>4735</v>
      </c>
      <c r="G128" s="101">
        <f t="shared" si="15"/>
        <v>28410</v>
      </c>
      <c r="H128" s="138"/>
      <c r="I128" s="113"/>
      <c r="J128" s="111"/>
    </row>
    <row r="129" spans="1:10" x14ac:dyDescent="0.2">
      <c r="A129" s="96">
        <v>41</v>
      </c>
      <c r="B129" s="120" t="s">
        <v>194</v>
      </c>
      <c r="C129" s="107" t="s">
        <v>193</v>
      </c>
      <c r="D129" s="99" t="s">
        <v>135</v>
      </c>
      <c r="E129" s="109">
        <v>1</v>
      </c>
      <c r="F129" s="109">
        <v>2050</v>
      </c>
      <c r="G129" s="101">
        <f t="shared" si="15"/>
        <v>2050</v>
      </c>
      <c r="H129" s="136"/>
      <c r="I129" s="114"/>
      <c r="J129" s="111"/>
    </row>
    <row r="130" spans="1:10" x14ac:dyDescent="0.2">
      <c r="A130" s="96">
        <v>42</v>
      </c>
      <c r="B130" s="120" t="s">
        <v>372</v>
      </c>
      <c r="C130" s="98" t="s">
        <v>195</v>
      </c>
      <c r="D130" s="99" t="s">
        <v>175</v>
      </c>
      <c r="E130" s="109">
        <v>10</v>
      </c>
      <c r="F130" s="109">
        <v>500</v>
      </c>
      <c r="G130" s="101">
        <f t="shared" si="15"/>
        <v>5000</v>
      </c>
      <c r="H130" s="138"/>
      <c r="I130" s="113"/>
      <c r="J130" s="111"/>
    </row>
    <row r="131" spans="1:10" x14ac:dyDescent="0.2">
      <c r="A131" s="102"/>
      <c r="B131" s="121" t="s">
        <v>81</v>
      </c>
      <c r="C131" s="104" t="str">
        <f>CONCATENATE(B120," ",C120)</f>
        <v>730 Ústřední vytápění</v>
      </c>
      <c r="D131" s="102"/>
      <c r="E131" s="118"/>
      <c r="F131" s="105"/>
      <c r="G131" s="106">
        <f>SUM(G120:G130)</f>
        <v>83606</v>
      </c>
      <c r="H131" s="136"/>
      <c r="I131" s="114"/>
      <c r="J131" s="111"/>
    </row>
    <row r="132" spans="1:10" x14ac:dyDescent="0.2">
      <c r="A132" s="90" t="s">
        <v>58</v>
      </c>
      <c r="B132" s="119" t="s">
        <v>196</v>
      </c>
      <c r="C132" s="92" t="s">
        <v>197</v>
      </c>
      <c r="D132" s="93"/>
      <c r="E132" s="117"/>
      <c r="F132" s="94"/>
      <c r="G132" s="95"/>
      <c r="I132" s="114"/>
      <c r="J132" s="111"/>
    </row>
    <row r="133" spans="1:10" x14ac:dyDescent="0.2">
      <c r="A133" s="96">
        <v>43</v>
      </c>
      <c r="B133" s="120" t="s">
        <v>198</v>
      </c>
      <c r="C133" s="158" t="s">
        <v>199</v>
      </c>
      <c r="D133" s="99" t="s">
        <v>135</v>
      </c>
      <c r="E133" s="109">
        <v>1</v>
      </c>
      <c r="F133" s="109">
        <v>90400</v>
      </c>
      <c r="G133" s="101">
        <f>E133*F133</f>
        <v>90400</v>
      </c>
      <c r="H133" s="146"/>
      <c r="I133" s="113"/>
      <c r="J133" s="111"/>
    </row>
    <row r="134" spans="1:10" x14ac:dyDescent="0.2">
      <c r="A134" s="102"/>
      <c r="B134" s="121" t="s">
        <v>81</v>
      </c>
      <c r="C134" s="104" t="str">
        <f>CONCATENATE(B132," ",C132)</f>
        <v>766 Nábytek</v>
      </c>
      <c r="D134" s="102"/>
      <c r="E134" s="118"/>
      <c r="F134" s="105"/>
      <c r="G134" s="106">
        <f>SUM(G132:G133)</f>
        <v>90400</v>
      </c>
      <c r="I134" s="114"/>
      <c r="J134" s="111"/>
    </row>
    <row r="135" spans="1:10" x14ac:dyDescent="0.2">
      <c r="A135" s="90" t="s">
        <v>58</v>
      </c>
      <c r="B135" s="119" t="s">
        <v>196</v>
      </c>
      <c r="C135" s="92" t="s">
        <v>200</v>
      </c>
      <c r="D135" s="93"/>
      <c r="E135" s="117"/>
      <c r="F135" s="94"/>
      <c r="G135" s="95"/>
      <c r="I135" s="112"/>
      <c r="J135" s="111"/>
    </row>
    <row r="136" spans="1:10" ht="33.75" x14ac:dyDescent="0.2">
      <c r="A136" s="96">
        <v>44</v>
      </c>
      <c r="B136" s="120" t="s">
        <v>198</v>
      </c>
      <c r="C136" s="107" t="s">
        <v>201</v>
      </c>
      <c r="D136" s="99" t="s">
        <v>63</v>
      </c>
      <c r="E136" s="109">
        <f>SUM(E137:E141)</f>
        <v>166.24</v>
      </c>
      <c r="F136" s="100">
        <v>800</v>
      </c>
      <c r="G136" s="101">
        <f t="shared" ref="G136" si="16">E136*F136</f>
        <v>132992</v>
      </c>
      <c r="H136" s="116"/>
      <c r="I136" s="113"/>
      <c r="J136" s="111"/>
    </row>
    <row r="137" spans="1:10" x14ac:dyDescent="0.2">
      <c r="A137" s="96"/>
      <c r="B137" s="120"/>
      <c r="C137" s="124" t="s">
        <v>363</v>
      </c>
      <c r="D137" s="125"/>
      <c r="E137" s="126">
        <f>6.7*10.4</f>
        <v>69.680000000000007</v>
      </c>
      <c r="F137" s="100"/>
      <c r="G137" s="101"/>
      <c r="H137" s="116"/>
      <c r="I137" s="113"/>
      <c r="J137" s="111"/>
    </row>
    <row r="138" spans="1:10" x14ac:dyDescent="0.2">
      <c r="A138" s="96"/>
      <c r="B138" s="120"/>
      <c r="C138" s="124" t="s">
        <v>322</v>
      </c>
      <c r="D138" s="125"/>
      <c r="E138" s="126">
        <f>3.2*6.8</f>
        <v>21.76</v>
      </c>
      <c r="F138" s="100"/>
      <c r="G138" s="101"/>
      <c r="H138" s="116"/>
      <c r="I138" s="113"/>
      <c r="J138" s="111"/>
    </row>
    <row r="139" spans="1:10" x14ac:dyDescent="0.2">
      <c r="A139" s="96"/>
      <c r="B139" s="120"/>
      <c r="C139" s="124" t="s">
        <v>323</v>
      </c>
      <c r="D139" s="125"/>
      <c r="E139" s="126">
        <f>3.7*6.8</f>
        <v>25.16</v>
      </c>
      <c r="F139" s="100"/>
      <c r="G139" s="101"/>
      <c r="H139" s="116"/>
      <c r="I139" s="113"/>
      <c r="J139" s="111"/>
    </row>
    <row r="140" spans="1:10" x14ac:dyDescent="0.2">
      <c r="A140" s="96"/>
      <c r="B140" s="120"/>
      <c r="C140" s="124" t="s">
        <v>324</v>
      </c>
      <c r="D140" s="125"/>
      <c r="E140" s="126">
        <f>3.7*6.8</f>
        <v>25.16</v>
      </c>
      <c r="F140" s="100"/>
      <c r="G140" s="101"/>
      <c r="H140" s="116"/>
      <c r="I140" s="113"/>
      <c r="J140" s="111"/>
    </row>
    <row r="141" spans="1:10" x14ac:dyDescent="0.2">
      <c r="A141" s="96"/>
      <c r="B141" s="120"/>
      <c r="C141" s="124" t="s">
        <v>325</v>
      </c>
      <c r="D141" s="125"/>
      <c r="E141" s="126">
        <f>3.6*6.8</f>
        <v>24.48</v>
      </c>
      <c r="F141" s="100"/>
      <c r="G141" s="101"/>
      <c r="H141" s="116"/>
      <c r="I141" s="113"/>
      <c r="J141" s="111"/>
    </row>
    <row r="142" spans="1:10" ht="22.5" x14ac:dyDescent="0.2">
      <c r="A142" s="96">
        <v>45</v>
      </c>
      <c r="B142" s="120" t="s">
        <v>202</v>
      </c>
      <c r="C142" s="107" t="s">
        <v>203</v>
      </c>
      <c r="D142" s="99" t="s">
        <v>86</v>
      </c>
      <c r="E142" s="109">
        <f>SUM(E143:E147)</f>
        <v>117</v>
      </c>
      <c r="F142" s="100">
        <v>99</v>
      </c>
      <c r="G142" s="101">
        <f t="shared" ref="G142" si="17">E142*F142</f>
        <v>11583</v>
      </c>
      <c r="H142" s="138"/>
      <c r="I142" s="113"/>
      <c r="J142" s="111"/>
    </row>
    <row r="143" spans="1:10" x14ac:dyDescent="0.2">
      <c r="A143" s="96"/>
      <c r="B143" s="120"/>
      <c r="C143" s="124" t="s">
        <v>373</v>
      </c>
      <c r="D143" s="125"/>
      <c r="E143" s="126">
        <f>(6.7+10.4)*2</f>
        <v>34.200000000000003</v>
      </c>
      <c r="F143" s="100"/>
      <c r="G143" s="101"/>
      <c r="H143" s="116"/>
      <c r="I143" s="113"/>
      <c r="J143" s="111"/>
    </row>
    <row r="144" spans="1:10" x14ac:dyDescent="0.2">
      <c r="A144" s="96"/>
      <c r="B144" s="120"/>
      <c r="C144" s="124" t="s">
        <v>374</v>
      </c>
      <c r="D144" s="125"/>
      <c r="E144" s="126">
        <f>(3.2+6.8)*2</f>
        <v>20</v>
      </c>
      <c r="F144" s="100"/>
      <c r="G144" s="101"/>
      <c r="H144" s="116"/>
      <c r="I144" s="113"/>
      <c r="J144" s="111"/>
    </row>
    <row r="145" spans="1:10" x14ac:dyDescent="0.2">
      <c r="A145" s="96"/>
      <c r="B145" s="120"/>
      <c r="C145" s="124" t="s">
        <v>375</v>
      </c>
      <c r="D145" s="125"/>
      <c r="E145" s="126">
        <f>(3.7+6.8)*2</f>
        <v>21</v>
      </c>
      <c r="F145" s="100"/>
      <c r="G145" s="101"/>
      <c r="H145" s="116"/>
      <c r="I145" s="113"/>
      <c r="J145" s="111"/>
    </row>
    <row r="146" spans="1:10" x14ac:dyDescent="0.2">
      <c r="A146" s="96"/>
      <c r="B146" s="120"/>
      <c r="C146" s="124" t="s">
        <v>376</v>
      </c>
      <c r="D146" s="125"/>
      <c r="E146" s="126">
        <f>(3.7+6.8)*2</f>
        <v>21</v>
      </c>
      <c r="F146" s="100"/>
      <c r="G146" s="101"/>
      <c r="H146" s="116"/>
      <c r="I146" s="113"/>
      <c r="J146" s="111"/>
    </row>
    <row r="147" spans="1:10" x14ac:dyDescent="0.2">
      <c r="A147" s="96"/>
      <c r="B147" s="120"/>
      <c r="C147" s="124" t="s">
        <v>377</v>
      </c>
      <c r="D147" s="125"/>
      <c r="E147" s="126">
        <f>(3.6+6.8)*2</f>
        <v>20.8</v>
      </c>
      <c r="F147" s="100"/>
      <c r="G147" s="101"/>
      <c r="H147" s="116"/>
      <c r="I147" s="113"/>
      <c r="J147" s="111"/>
    </row>
    <row r="148" spans="1:10" x14ac:dyDescent="0.2">
      <c r="A148" s="102"/>
      <c r="B148" s="121" t="s">
        <v>81</v>
      </c>
      <c r="C148" s="104" t="str">
        <f>CONCATENATE(B135," ",C135)</f>
        <v>766 Konstrukce truhlářské</v>
      </c>
      <c r="D148" s="102"/>
      <c r="E148" s="118"/>
      <c r="F148" s="105"/>
      <c r="G148" s="106">
        <f>SUM(G135:G147)</f>
        <v>144575</v>
      </c>
      <c r="I148" s="114"/>
      <c r="J148" s="111"/>
    </row>
    <row r="149" spans="1:10" x14ac:dyDescent="0.2">
      <c r="A149" s="90" t="s">
        <v>58</v>
      </c>
      <c r="B149" s="119" t="s">
        <v>208</v>
      </c>
      <c r="C149" s="92" t="s">
        <v>209</v>
      </c>
      <c r="D149" s="93"/>
      <c r="E149" s="117"/>
      <c r="F149" s="94"/>
      <c r="G149" s="95"/>
      <c r="I149" s="112"/>
      <c r="J149" s="111"/>
    </row>
    <row r="150" spans="1:10" x14ac:dyDescent="0.2">
      <c r="A150" s="96">
        <v>46</v>
      </c>
      <c r="B150" s="120" t="s">
        <v>210</v>
      </c>
      <c r="C150" s="98" t="s">
        <v>211</v>
      </c>
      <c r="D150" s="99" t="s">
        <v>63</v>
      </c>
      <c r="E150" s="109">
        <f>SUM(E151:E155)</f>
        <v>166.24</v>
      </c>
      <c r="F150" s="100">
        <v>54</v>
      </c>
      <c r="G150" s="101">
        <f>E150*F150</f>
        <v>8976.9600000000009</v>
      </c>
      <c r="H150" s="116"/>
      <c r="I150" s="112"/>
      <c r="J150" s="111"/>
    </row>
    <row r="151" spans="1:10" x14ac:dyDescent="0.2">
      <c r="A151" s="96"/>
      <c r="B151" s="120"/>
      <c r="C151" s="124" t="s">
        <v>363</v>
      </c>
      <c r="D151" s="125"/>
      <c r="E151" s="126">
        <f>6.7*10.4</f>
        <v>69.680000000000007</v>
      </c>
      <c r="F151" s="100"/>
      <c r="G151" s="101"/>
      <c r="H151" s="116"/>
      <c r="I151" s="112"/>
      <c r="J151" s="111"/>
    </row>
    <row r="152" spans="1:10" x14ac:dyDescent="0.2">
      <c r="A152" s="96"/>
      <c r="B152" s="120"/>
      <c r="C152" s="124" t="s">
        <v>322</v>
      </c>
      <c r="D152" s="125"/>
      <c r="E152" s="126">
        <f>3.2*6.8</f>
        <v>21.76</v>
      </c>
      <c r="F152" s="100"/>
      <c r="G152" s="101"/>
      <c r="H152" s="116"/>
      <c r="I152" s="112"/>
      <c r="J152" s="111"/>
    </row>
    <row r="153" spans="1:10" x14ac:dyDescent="0.2">
      <c r="A153" s="96"/>
      <c r="B153" s="120"/>
      <c r="C153" s="124" t="s">
        <v>323</v>
      </c>
      <c r="D153" s="125"/>
      <c r="E153" s="126">
        <f>3.7*6.8</f>
        <v>25.16</v>
      </c>
      <c r="F153" s="100"/>
      <c r="G153" s="101"/>
      <c r="H153" s="116"/>
      <c r="I153" s="112"/>
      <c r="J153" s="111"/>
    </row>
    <row r="154" spans="1:10" x14ac:dyDescent="0.2">
      <c r="A154" s="96"/>
      <c r="B154" s="120"/>
      <c r="C154" s="124" t="s">
        <v>324</v>
      </c>
      <c r="D154" s="125"/>
      <c r="E154" s="126">
        <f>3.7*6.8</f>
        <v>25.16</v>
      </c>
      <c r="F154" s="100"/>
      <c r="G154" s="101"/>
      <c r="H154" s="116"/>
      <c r="I154" s="112"/>
      <c r="J154" s="111"/>
    </row>
    <row r="155" spans="1:10" x14ac:dyDescent="0.2">
      <c r="A155" s="96"/>
      <c r="B155" s="120"/>
      <c r="C155" s="124" t="s">
        <v>325</v>
      </c>
      <c r="D155" s="125"/>
      <c r="E155" s="126">
        <f>3.6*6.8</f>
        <v>24.48</v>
      </c>
      <c r="F155" s="100"/>
      <c r="G155" s="101"/>
      <c r="H155" s="116"/>
      <c r="I155" s="112"/>
      <c r="J155" s="111"/>
    </row>
    <row r="156" spans="1:10" x14ac:dyDescent="0.2">
      <c r="A156" s="102"/>
      <c r="B156" s="121" t="s">
        <v>81</v>
      </c>
      <c r="C156" s="104" t="str">
        <f>CONCATENATE(B149," ",C149)</f>
        <v>776 Podlahy povlakové</v>
      </c>
      <c r="D156" s="102"/>
      <c r="E156" s="118"/>
      <c r="F156" s="105"/>
      <c r="G156" s="106">
        <f>SUM(G149:G155)</f>
        <v>8976.9600000000009</v>
      </c>
      <c r="I156" s="114"/>
      <c r="J156" s="111"/>
    </row>
    <row r="157" spans="1:10" x14ac:dyDescent="0.2">
      <c r="A157" s="90" t="s">
        <v>58</v>
      </c>
      <c r="B157" s="119" t="s">
        <v>212</v>
      </c>
      <c r="C157" s="92" t="s">
        <v>378</v>
      </c>
      <c r="D157" s="93"/>
      <c r="E157" s="117"/>
      <c r="F157" s="94"/>
      <c r="G157" s="95"/>
      <c r="I157" s="114"/>
      <c r="J157" s="111"/>
    </row>
    <row r="158" spans="1:10" x14ac:dyDescent="0.2">
      <c r="A158" s="96">
        <v>47</v>
      </c>
      <c r="B158" s="120" t="s">
        <v>214</v>
      </c>
      <c r="C158" s="98" t="s">
        <v>379</v>
      </c>
      <c r="D158" s="99" t="s">
        <v>63</v>
      </c>
      <c r="E158" s="109">
        <f>SUM(E159:E160)</f>
        <v>3</v>
      </c>
      <c r="F158" s="100">
        <v>1110</v>
      </c>
      <c r="G158" s="101">
        <f>E158*F158</f>
        <v>3330</v>
      </c>
      <c r="H158" s="136"/>
      <c r="I158" s="114"/>
      <c r="J158" s="111"/>
    </row>
    <row r="159" spans="1:10" x14ac:dyDescent="0.2">
      <c r="A159" s="96"/>
      <c r="B159" s="120"/>
      <c r="C159" s="124" t="s">
        <v>380</v>
      </c>
      <c r="D159" s="125"/>
      <c r="E159" s="126">
        <v>3</v>
      </c>
      <c r="F159" s="100"/>
      <c r="G159" s="101"/>
      <c r="I159" s="114"/>
      <c r="J159" s="111"/>
    </row>
    <row r="160" spans="1:10" x14ac:dyDescent="0.2">
      <c r="A160" s="96"/>
      <c r="B160" s="120"/>
      <c r="C160" s="124"/>
      <c r="D160" s="125"/>
      <c r="E160" s="126"/>
      <c r="F160" s="100"/>
      <c r="G160" s="101"/>
      <c r="I160" s="114"/>
      <c r="J160" s="111"/>
    </row>
    <row r="161" spans="1:10" ht="22.5" x14ac:dyDescent="0.2">
      <c r="A161" s="96">
        <v>48</v>
      </c>
      <c r="B161" s="120" t="s">
        <v>217</v>
      </c>
      <c r="C161" s="98" t="s">
        <v>218</v>
      </c>
      <c r="D161" s="99" t="s">
        <v>63</v>
      </c>
      <c r="E161" s="109">
        <f>SUM(E162:E166)</f>
        <v>15.639999999999997</v>
      </c>
      <c r="F161" s="100">
        <v>2850</v>
      </c>
      <c r="G161" s="101">
        <f>E161*F161</f>
        <v>44573.999999999993</v>
      </c>
      <c r="I161" s="114"/>
      <c r="J161" s="111"/>
    </row>
    <row r="162" spans="1:10" x14ac:dyDescent="0.2">
      <c r="A162" s="96"/>
      <c r="B162" s="120"/>
      <c r="C162" s="124" t="s">
        <v>336</v>
      </c>
      <c r="D162" s="125"/>
      <c r="E162" s="126">
        <f>1.7*1.2+3.1*1.2</f>
        <v>5.76</v>
      </c>
      <c r="F162" s="100"/>
      <c r="G162" s="101"/>
      <c r="I162" s="114"/>
      <c r="J162" s="111"/>
    </row>
    <row r="163" spans="1:10" x14ac:dyDescent="0.2">
      <c r="A163" s="96"/>
      <c r="B163" s="120"/>
      <c r="C163" s="124" t="s">
        <v>337</v>
      </c>
      <c r="D163" s="125"/>
      <c r="E163" s="126">
        <f>1.9*1.3</f>
        <v>2.4699999999999998</v>
      </c>
      <c r="F163" s="100"/>
      <c r="G163" s="101"/>
      <c r="I163" s="114"/>
      <c r="J163" s="111"/>
    </row>
    <row r="164" spans="1:10" x14ac:dyDescent="0.2">
      <c r="A164" s="96"/>
      <c r="B164" s="120"/>
      <c r="C164" s="124" t="s">
        <v>381</v>
      </c>
      <c r="D164" s="125"/>
      <c r="E164" s="126">
        <f>1.9*1.3</f>
        <v>2.4699999999999998</v>
      </c>
      <c r="F164" s="100"/>
      <c r="G164" s="101"/>
      <c r="I164" s="114"/>
      <c r="J164" s="111"/>
    </row>
    <row r="165" spans="1:10" x14ac:dyDescent="0.2">
      <c r="A165" s="96"/>
      <c r="B165" s="120"/>
      <c r="C165" s="124" t="s">
        <v>382</v>
      </c>
      <c r="D165" s="125"/>
      <c r="E165" s="126">
        <f>1.9*1.3</f>
        <v>2.4699999999999998</v>
      </c>
      <c r="F165" s="100"/>
      <c r="G165" s="101"/>
      <c r="I165" s="114"/>
      <c r="J165" s="111"/>
    </row>
    <row r="166" spans="1:10" x14ac:dyDescent="0.2">
      <c r="A166" s="96"/>
      <c r="B166" s="120"/>
      <c r="C166" s="124" t="s">
        <v>340</v>
      </c>
      <c r="D166" s="125"/>
      <c r="E166" s="126">
        <f>1.9*1.3</f>
        <v>2.4699999999999998</v>
      </c>
      <c r="F166" s="100"/>
      <c r="G166" s="101"/>
      <c r="I166" s="114"/>
      <c r="J166" s="111"/>
    </row>
    <row r="167" spans="1:10" x14ac:dyDescent="0.2">
      <c r="A167" s="102"/>
      <c r="B167" s="121" t="s">
        <v>81</v>
      </c>
      <c r="C167" s="104" t="str">
        <f>CONCATENATE(B157," ",C157)</f>
        <v>781 Obklady keramické</v>
      </c>
      <c r="D167" s="102"/>
      <c r="E167" s="118"/>
      <c r="F167" s="105"/>
      <c r="G167" s="106">
        <f>SUM(G157:G166)</f>
        <v>47903.999999999993</v>
      </c>
      <c r="I167" s="114"/>
      <c r="J167" s="111"/>
    </row>
    <row r="168" spans="1:10" x14ac:dyDescent="0.2">
      <c r="A168" s="90" t="s">
        <v>58</v>
      </c>
      <c r="B168" s="119" t="s">
        <v>223</v>
      </c>
      <c r="C168" s="92" t="s">
        <v>224</v>
      </c>
      <c r="D168" s="93"/>
      <c r="E168" s="117"/>
      <c r="F168" s="94"/>
      <c r="G168" s="95"/>
      <c r="I168" s="112"/>
      <c r="J168" s="111"/>
    </row>
    <row r="169" spans="1:10" ht="22.5" x14ac:dyDescent="0.2">
      <c r="A169" s="96">
        <v>49</v>
      </c>
      <c r="B169" s="120" t="s">
        <v>225</v>
      </c>
      <c r="C169" s="98" t="s">
        <v>226</v>
      </c>
      <c r="D169" s="99" t="s">
        <v>63</v>
      </c>
      <c r="E169" s="109">
        <f>SUM(E170:E174)</f>
        <v>166.24</v>
      </c>
      <c r="F169" s="100">
        <v>650</v>
      </c>
      <c r="G169" s="101">
        <f>E169*F169</f>
        <v>108056</v>
      </c>
      <c r="I169" s="113"/>
      <c r="J169" s="111"/>
    </row>
    <row r="170" spans="1:10" x14ac:dyDescent="0.2">
      <c r="A170" s="96"/>
      <c r="B170" s="120"/>
      <c r="C170" s="124" t="s">
        <v>363</v>
      </c>
      <c r="D170" s="125"/>
      <c r="E170" s="126">
        <f>6.7*10.4</f>
        <v>69.680000000000007</v>
      </c>
      <c r="F170" s="100"/>
      <c r="G170" s="101"/>
      <c r="I170" s="113"/>
      <c r="J170" s="111"/>
    </row>
    <row r="171" spans="1:10" x14ac:dyDescent="0.2">
      <c r="A171" s="96"/>
      <c r="B171" s="120"/>
      <c r="C171" s="124" t="s">
        <v>322</v>
      </c>
      <c r="D171" s="125"/>
      <c r="E171" s="126">
        <f>3.2*6.8</f>
        <v>21.76</v>
      </c>
      <c r="F171" s="100"/>
      <c r="G171" s="101"/>
      <c r="I171" s="113"/>
      <c r="J171" s="111"/>
    </row>
    <row r="172" spans="1:10" x14ac:dyDescent="0.2">
      <c r="A172" s="96"/>
      <c r="B172" s="120"/>
      <c r="C172" s="124" t="s">
        <v>323</v>
      </c>
      <c r="D172" s="125"/>
      <c r="E172" s="126">
        <f>3.7*6.8</f>
        <v>25.16</v>
      </c>
      <c r="F172" s="100"/>
      <c r="G172" s="101"/>
      <c r="I172" s="113"/>
      <c r="J172" s="111"/>
    </row>
    <row r="173" spans="1:10" x14ac:dyDescent="0.2">
      <c r="A173" s="96"/>
      <c r="B173" s="120"/>
      <c r="C173" s="124" t="s">
        <v>324</v>
      </c>
      <c r="D173" s="125"/>
      <c r="E173" s="126">
        <f>3.7*6.8</f>
        <v>25.16</v>
      </c>
      <c r="F173" s="100"/>
      <c r="G173" s="101"/>
      <c r="I173" s="113"/>
      <c r="J173" s="111"/>
    </row>
    <row r="174" spans="1:10" x14ac:dyDescent="0.2">
      <c r="A174" s="96"/>
      <c r="B174" s="120"/>
      <c r="C174" s="124" t="s">
        <v>325</v>
      </c>
      <c r="D174" s="125"/>
      <c r="E174" s="126">
        <f>3.6*6.8</f>
        <v>24.48</v>
      </c>
      <c r="F174" s="100"/>
      <c r="G174" s="101"/>
      <c r="I174" s="113"/>
      <c r="J174" s="111"/>
    </row>
    <row r="175" spans="1:10" x14ac:dyDescent="0.2">
      <c r="A175" s="102"/>
      <c r="B175" s="121" t="s">
        <v>81</v>
      </c>
      <c r="C175" s="104" t="str">
        <f>CONCATENATE(B168," ",C168)</f>
        <v>783 Nátěry</v>
      </c>
      <c r="D175" s="102"/>
      <c r="E175" s="118"/>
      <c r="F175" s="105"/>
      <c r="G175" s="106">
        <f>SUM(G168:G174)</f>
        <v>108056</v>
      </c>
      <c r="I175" s="114"/>
      <c r="J175" s="111"/>
    </row>
    <row r="176" spans="1:10" x14ac:dyDescent="0.2">
      <c r="A176" s="90" t="s">
        <v>58</v>
      </c>
      <c r="B176" s="119" t="s">
        <v>230</v>
      </c>
      <c r="C176" s="92" t="s">
        <v>231</v>
      </c>
      <c r="D176" s="93"/>
      <c r="E176" s="117"/>
      <c r="F176" s="94"/>
      <c r="G176" s="95"/>
      <c r="I176" s="112"/>
      <c r="J176" s="111"/>
    </row>
    <row r="177" spans="1:10" x14ac:dyDescent="0.2">
      <c r="A177" s="96">
        <v>50</v>
      </c>
      <c r="B177" s="97" t="s">
        <v>232</v>
      </c>
      <c r="C177" s="98" t="s">
        <v>233</v>
      </c>
      <c r="D177" s="99" t="s">
        <v>63</v>
      </c>
      <c r="E177" s="109">
        <f>SUM(E178:E182)</f>
        <v>591.61</v>
      </c>
      <c r="F177" s="100">
        <v>40</v>
      </c>
      <c r="G177" s="101">
        <f>E177*F177</f>
        <v>23664.400000000001</v>
      </c>
      <c r="H177" s="116"/>
      <c r="I177" s="112"/>
      <c r="J177" s="111"/>
    </row>
    <row r="178" spans="1:10" x14ac:dyDescent="0.2">
      <c r="A178" s="96"/>
      <c r="B178" s="97"/>
      <c r="C178" s="124" t="s">
        <v>383</v>
      </c>
      <c r="D178" s="125"/>
      <c r="E178" s="126">
        <f>(6.7+10.4)*2*3.6+(1.7+2.9*2+3.1+2.9*2)*0.5</f>
        <v>131.32000000000002</v>
      </c>
      <c r="F178" s="100"/>
      <c r="G178" s="101"/>
      <c r="H178" s="116"/>
      <c r="I178" s="112"/>
      <c r="J178" s="111"/>
    </row>
    <row r="179" spans="1:10" ht="22.5" x14ac:dyDescent="0.2">
      <c r="A179" s="96"/>
      <c r="B179" s="97"/>
      <c r="C179" s="124" t="s">
        <v>384</v>
      </c>
      <c r="D179" s="125"/>
      <c r="E179" s="126">
        <f>3.2*6.8+(3.2+6.8)*2*4.1+(1.9+2.9*2+1.3+2.3*2)*0.5</f>
        <v>110.56</v>
      </c>
      <c r="F179" s="100"/>
      <c r="G179" s="101"/>
      <c r="H179" s="116"/>
      <c r="I179" s="112"/>
      <c r="J179" s="111"/>
    </row>
    <row r="180" spans="1:10" x14ac:dyDescent="0.2">
      <c r="A180" s="96"/>
      <c r="B180" s="97"/>
      <c r="C180" s="124" t="s">
        <v>385</v>
      </c>
      <c r="D180" s="125"/>
      <c r="E180" s="126">
        <f>3.7*6.8+(3.7+6.8)*2*4.1+(1.9+2.9*2)*0.5</f>
        <v>115.10999999999999</v>
      </c>
      <c r="F180" s="100"/>
      <c r="G180" s="101"/>
      <c r="H180" s="116"/>
      <c r="I180" s="112"/>
      <c r="J180" s="111"/>
    </row>
    <row r="181" spans="1:10" ht="22.5" x14ac:dyDescent="0.2">
      <c r="A181" s="96"/>
      <c r="B181" s="97"/>
      <c r="C181" s="124" t="s">
        <v>386</v>
      </c>
      <c r="D181" s="125"/>
      <c r="E181" s="126">
        <f>3.7*6.8+(3.7+6.8)*2*4.1+(1.9+2.9*2+1.3+2.3*2)*0.5</f>
        <v>118.05999999999999</v>
      </c>
      <c r="F181" s="100"/>
      <c r="G181" s="101"/>
      <c r="H181" s="116"/>
      <c r="I181" s="112"/>
      <c r="J181" s="111"/>
    </row>
    <row r="182" spans="1:10" ht="22.5" x14ac:dyDescent="0.2">
      <c r="A182" s="96"/>
      <c r="B182" s="97"/>
      <c r="C182" s="124" t="s">
        <v>387</v>
      </c>
      <c r="D182" s="125"/>
      <c r="E182" s="126">
        <f>3.6*6.8+(3.6+6.8)*2*4.1+(1.9+2.9*2+1.3+2.3*2)*0.5</f>
        <v>116.56</v>
      </c>
      <c r="F182" s="100"/>
      <c r="G182" s="101"/>
      <c r="H182" s="116"/>
      <c r="I182" s="112"/>
      <c r="J182" s="111"/>
    </row>
    <row r="183" spans="1:10" x14ac:dyDescent="0.2">
      <c r="A183" s="96">
        <v>51</v>
      </c>
      <c r="B183" s="120" t="s">
        <v>238</v>
      </c>
      <c r="C183" s="98" t="s">
        <v>239</v>
      </c>
      <c r="D183" s="99" t="s">
        <v>63</v>
      </c>
      <c r="E183" s="109">
        <f>SUM(E184:E188)</f>
        <v>591.61</v>
      </c>
      <c r="F183" s="100">
        <v>67</v>
      </c>
      <c r="G183" s="101">
        <f>E183*F183</f>
        <v>39637.870000000003</v>
      </c>
      <c r="H183" s="116"/>
      <c r="I183" s="113"/>
      <c r="J183" s="111"/>
    </row>
    <row r="184" spans="1:10" x14ac:dyDescent="0.2">
      <c r="A184" s="96"/>
      <c r="B184" s="120"/>
      <c r="C184" s="124" t="s">
        <v>383</v>
      </c>
      <c r="D184" s="125"/>
      <c r="E184" s="126">
        <f>(6.7+10.4)*2*3.6+(1.7+2.9*2+3.1+2.9*2)*0.5</f>
        <v>131.32000000000002</v>
      </c>
      <c r="F184" s="100"/>
      <c r="G184" s="101"/>
      <c r="H184" s="116"/>
      <c r="I184" s="113"/>
      <c r="J184" s="111"/>
    </row>
    <row r="185" spans="1:10" ht="22.5" x14ac:dyDescent="0.2">
      <c r="A185" s="96"/>
      <c r="B185" s="120"/>
      <c r="C185" s="124" t="s">
        <v>384</v>
      </c>
      <c r="D185" s="125"/>
      <c r="E185" s="126">
        <f>3.2*6.8+(3.2+6.8)*2*4.1+(1.9+2.9*2+1.3+2.3*2)*0.5</f>
        <v>110.56</v>
      </c>
      <c r="F185" s="100"/>
      <c r="G185" s="101"/>
      <c r="H185" s="116"/>
      <c r="I185" s="113"/>
      <c r="J185" s="111"/>
    </row>
    <row r="186" spans="1:10" x14ac:dyDescent="0.2">
      <c r="A186" s="96"/>
      <c r="B186" s="120"/>
      <c r="C186" s="124" t="s">
        <v>385</v>
      </c>
      <c r="D186" s="125"/>
      <c r="E186" s="126">
        <f>3.7*6.8+(3.7+6.8)*2*4.1+(1.9+2.9*2)*0.5</f>
        <v>115.10999999999999</v>
      </c>
      <c r="F186" s="100"/>
      <c r="G186" s="101"/>
      <c r="H186" s="116"/>
      <c r="I186" s="113"/>
      <c r="J186" s="111"/>
    </row>
    <row r="187" spans="1:10" ht="22.5" x14ac:dyDescent="0.2">
      <c r="A187" s="96"/>
      <c r="B187" s="120"/>
      <c r="C187" s="124" t="s">
        <v>386</v>
      </c>
      <c r="D187" s="125"/>
      <c r="E187" s="126">
        <f>3.7*6.8+(3.7+6.8)*2*4.1+(1.9+2.9*2+1.3+2.3*2)*0.5</f>
        <v>118.05999999999999</v>
      </c>
      <c r="F187" s="100"/>
      <c r="G187" s="101"/>
      <c r="H187" s="116"/>
      <c r="I187" s="113"/>
      <c r="J187" s="111"/>
    </row>
    <row r="188" spans="1:10" ht="22.5" x14ac:dyDescent="0.2">
      <c r="A188" s="96"/>
      <c r="B188" s="120"/>
      <c r="C188" s="124" t="s">
        <v>387</v>
      </c>
      <c r="D188" s="125"/>
      <c r="E188" s="126">
        <f>3.6*6.8+(3.6+6.8)*2*4.1+(1.9+2.9*2+1.3+2.3*2)*0.5</f>
        <v>116.56</v>
      </c>
      <c r="F188" s="100"/>
      <c r="G188" s="101"/>
      <c r="H188" s="116"/>
      <c r="I188" s="113"/>
      <c r="J188" s="111"/>
    </row>
    <row r="189" spans="1:10" x14ac:dyDescent="0.2">
      <c r="A189" s="102"/>
      <c r="B189" s="121" t="s">
        <v>81</v>
      </c>
      <c r="C189" s="104" t="str">
        <f>CONCATENATE(B176," ",C176)</f>
        <v>784 Malby</v>
      </c>
      <c r="D189" s="102"/>
      <c r="E189" s="118"/>
      <c r="F189" s="105"/>
      <c r="G189" s="106">
        <f>SUM(G176:G188)</f>
        <v>63302.270000000004</v>
      </c>
      <c r="I189" s="114"/>
      <c r="J189" s="111"/>
    </row>
    <row r="190" spans="1:10" x14ac:dyDescent="0.2">
      <c r="A190" s="90" t="s">
        <v>58</v>
      </c>
      <c r="B190" s="91" t="s">
        <v>241</v>
      </c>
      <c r="C190" s="92" t="s">
        <v>242</v>
      </c>
      <c r="D190" s="93"/>
      <c r="E190" s="117"/>
      <c r="F190" s="94"/>
      <c r="G190" s="95"/>
      <c r="I190" s="112"/>
      <c r="J190" s="111"/>
    </row>
    <row r="191" spans="1:10" x14ac:dyDescent="0.2">
      <c r="A191" s="96">
        <v>52</v>
      </c>
      <c r="B191" s="97" t="s">
        <v>243</v>
      </c>
      <c r="C191" s="98" t="s">
        <v>244</v>
      </c>
      <c r="D191" s="99" t="s">
        <v>135</v>
      </c>
      <c r="E191" s="109">
        <v>1</v>
      </c>
      <c r="F191" s="109">
        <v>557410.84</v>
      </c>
      <c r="G191" s="101">
        <f>E191*F191</f>
        <v>557410.84</v>
      </c>
      <c r="I191" s="113"/>
      <c r="J191" s="111"/>
    </row>
    <row r="192" spans="1:10" x14ac:dyDescent="0.2">
      <c r="A192" s="96">
        <v>53</v>
      </c>
      <c r="B192" s="97" t="s">
        <v>245</v>
      </c>
      <c r="C192" s="107" t="s">
        <v>246</v>
      </c>
      <c r="D192" s="99" t="s">
        <v>135</v>
      </c>
      <c r="E192" s="109">
        <v>1</v>
      </c>
      <c r="F192" s="109">
        <v>668488.58717999991</v>
      </c>
      <c r="G192" s="101">
        <f t="shared" ref="G192:G197" si="18">E192*F192</f>
        <v>668488.58717999991</v>
      </c>
      <c r="I192" s="113"/>
      <c r="J192" s="111"/>
    </row>
    <row r="193" spans="1:10" x14ac:dyDescent="0.2">
      <c r="A193" s="96">
        <v>54</v>
      </c>
      <c r="B193" s="97" t="s">
        <v>306</v>
      </c>
      <c r="C193" s="107" t="s">
        <v>307</v>
      </c>
      <c r="D193" s="99" t="s">
        <v>63</v>
      </c>
      <c r="E193" s="109">
        <v>14.4</v>
      </c>
      <c r="F193" s="109">
        <v>3478.5</v>
      </c>
      <c r="G193" s="101">
        <f t="shared" si="18"/>
        <v>50090.400000000001</v>
      </c>
      <c r="I193" s="113"/>
      <c r="J193" s="111"/>
    </row>
    <row r="194" spans="1:10" ht="45" x14ac:dyDescent="0.2">
      <c r="A194" s="96">
        <v>55</v>
      </c>
      <c r="B194" s="97" t="s">
        <v>308</v>
      </c>
      <c r="C194" s="107" t="s">
        <v>312</v>
      </c>
      <c r="D194" s="99" t="s">
        <v>135</v>
      </c>
      <c r="E194" s="109">
        <v>1</v>
      </c>
      <c r="F194" s="109">
        <v>50500</v>
      </c>
      <c r="G194" s="101">
        <f t="shared" si="18"/>
        <v>50500</v>
      </c>
      <c r="I194" s="113"/>
      <c r="J194" s="111"/>
    </row>
    <row r="195" spans="1:10" s="192" customFormat="1" ht="22.5" x14ac:dyDescent="0.2">
      <c r="A195" s="186">
        <v>56</v>
      </c>
      <c r="B195" s="187" t="s">
        <v>247</v>
      </c>
      <c r="C195" s="188" t="s">
        <v>248</v>
      </c>
      <c r="D195" s="189" t="s">
        <v>135</v>
      </c>
      <c r="E195" s="190">
        <v>0</v>
      </c>
      <c r="F195" s="190">
        <v>0</v>
      </c>
      <c r="G195" s="191">
        <f t="shared" si="18"/>
        <v>0</v>
      </c>
      <c r="I195" s="193"/>
      <c r="J195" s="194"/>
    </row>
    <row r="196" spans="1:10" ht="22.5" x14ac:dyDescent="0.2">
      <c r="A196" s="96">
        <v>57</v>
      </c>
      <c r="B196" s="97" t="s">
        <v>249</v>
      </c>
      <c r="C196" s="98" t="s">
        <v>250</v>
      </c>
      <c r="D196" s="99" t="s">
        <v>229</v>
      </c>
      <c r="E196" s="109">
        <v>10</v>
      </c>
      <c r="F196" s="109">
        <v>1500</v>
      </c>
      <c r="G196" s="101">
        <f t="shared" si="18"/>
        <v>15000</v>
      </c>
      <c r="I196" s="113"/>
      <c r="J196" s="111"/>
    </row>
    <row r="197" spans="1:10" x14ac:dyDescent="0.2">
      <c r="A197" s="96">
        <v>58</v>
      </c>
      <c r="B197" s="97" t="s">
        <v>251</v>
      </c>
      <c r="C197" s="98" t="s">
        <v>252</v>
      </c>
      <c r="D197" s="99" t="s">
        <v>175</v>
      </c>
      <c r="E197" s="109">
        <v>20</v>
      </c>
      <c r="F197" s="109">
        <v>500</v>
      </c>
      <c r="G197" s="101">
        <f t="shared" si="18"/>
        <v>10000</v>
      </c>
      <c r="H197" s="116"/>
      <c r="I197" s="113"/>
      <c r="J197" s="111"/>
    </row>
    <row r="198" spans="1:10" x14ac:dyDescent="0.2">
      <c r="A198" s="96"/>
      <c r="B198" s="103" t="s">
        <v>81</v>
      </c>
      <c r="C198" s="104" t="str">
        <f>CONCATENATE(B190," ",C190)</f>
        <v>M21 Elektromontáže+akustika+audioviz. technika</v>
      </c>
      <c r="D198" s="102"/>
      <c r="E198" s="118"/>
      <c r="F198" s="105"/>
      <c r="G198" s="106">
        <f>SUM(G190:G197)</f>
        <v>1351489.8271799998</v>
      </c>
      <c r="I198" s="114"/>
      <c r="J198" s="111"/>
    </row>
    <row r="199" spans="1:10" x14ac:dyDescent="0.2">
      <c r="A199" s="90" t="s">
        <v>58</v>
      </c>
      <c r="B199" s="91" t="s">
        <v>253</v>
      </c>
      <c r="C199" s="92" t="s">
        <v>254</v>
      </c>
      <c r="D199" s="93"/>
      <c r="E199" s="117"/>
      <c r="F199" s="94"/>
      <c r="G199" s="95"/>
      <c r="I199" s="112"/>
      <c r="J199" s="111"/>
    </row>
    <row r="200" spans="1:10" ht="22.5" x14ac:dyDescent="0.2">
      <c r="A200" s="96">
        <v>59</v>
      </c>
      <c r="B200" s="97" t="s">
        <v>255</v>
      </c>
      <c r="C200" s="98" t="s">
        <v>256</v>
      </c>
      <c r="D200" s="99" t="s">
        <v>229</v>
      </c>
      <c r="E200" s="109">
        <f>SUM(E201:E204)</f>
        <v>8</v>
      </c>
      <c r="F200" s="109">
        <v>3500</v>
      </c>
      <c r="G200" s="101">
        <f>E200*F200</f>
        <v>28000</v>
      </c>
      <c r="H200" s="116"/>
      <c r="I200" s="113"/>
      <c r="J200" s="111"/>
    </row>
    <row r="201" spans="1:10" x14ac:dyDescent="0.2">
      <c r="A201" s="96"/>
      <c r="B201" s="97"/>
      <c r="C201" s="124" t="s">
        <v>354</v>
      </c>
      <c r="D201" s="125"/>
      <c r="E201" s="126">
        <v>2</v>
      </c>
      <c r="F201" s="109"/>
      <c r="G201" s="101"/>
      <c r="H201" s="116"/>
      <c r="I201" s="113"/>
      <c r="J201" s="111"/>
    </row>
    <row r="202" spans="1:10" x14ac:dyDescent="0.2">
      <c r="A202" s="96"/>
      <c r="B202" s="97"/>
      <c r="C202" s="124" t="s">
        <v>388</v>
      </c>
      <c r="D202" s="125"/>
      <c r="E202" s="126">
        <v>2</v>
      </c>
      <c r="F202" s="109"/>
      <c r="G202" s="101"/>
      <c r="H202" s="116"/>
      <c r="I202" s="113"/>
      <c r="J202" s="111"/>
    </row>
    <row r="203" spans="1:10" x14ac:dyDescent="0.2">
      <c r="A203" s="96"/>
      <c r="B203" s="97"/>
      <c r="C203" s="124" t="s">
        <v>389</v>
      </c>
      <c r="D203" s="125"/>
      <c r="E203" s="126">
        <v>2</v>
      </c>
      <c r="F203" s="109"/>
      <c r="G203" s="101"/>
      <c r="H203" s="116"/>
      <c r="I203" s="113"/>
      <c r="J203" s="111"/>
    </row>
    <row r="204" spans="1:10" x14ac:dyDescent="0.2">
      <c r="A204" s="96"/>
      <c r="B204" s="97"/>
      <c r="C204" s="124" t="s">
        <v>390</v>
      </c>
      <c r="D204" s="125"/>
      <c r="E204" s="126">
        <v>2</v>
      </c>
      <c r="F204" s="109"/>
      <c r="G204" s="101"/>
      <c r="H204" s="116"/>
      <c r="I204" s="113"/>
      <c r="J204" s="111"/>
    </row>
    <row r="205" spans="1:10" x14ac:dyDescent="0.2">
      <c r="A205" s="102"/>
      <c r="B205" s="103" t="s">
        <v>81</v>
      </c>
      <c r="C205" s="104" t="str">
        <f>CONCATENATE(B199," ",C199)</f>
        <v>M24 Vzduchotechnika</v>
      </c>
      <c r="D205" s="102"/>
      <c r="E205" s="118"/>
      <c r="F205" s="105"/>
      <c r="G205" s="127">
        <f>SUM(G199:G204)</f>
        <v>28000</v>
      </c>
      <c r="I205" s="114"/>
      <c r="J205" s="111"/>
    </row>
    <row r="206" spans="1:10" x14ac:dyDescent="0.2">
      <c r="E206" s="74"/>
    </row>
    <row r="207" spans="1:10" x14ac:dyDescent="0.2">
      <c r="A207" s="130"/>
      <c r="B207" s="131" t="s">
        <v>81</v>
      </c>
      <c r="C207" s="132"/>
      <c r="D207" s="130"/>
      <c r="E207" s="133"/>
      <c r="F207" s="134"/>
      <c r="G207" s="135">
        <f>G205+G198+G189+G175+G167+G156+G148+G131+G119+G112+G109+G90+G87+G76+G50+G19+G134</f>
        <v>2821994.2831799998</v>
      </c>
    </row>
    <row r="208" spans="1:10" x14ac:dyDescent="0.2">
      <c r="E208" s="74"/>
    </row>
    <row r="209" spans="5:5" x14ac:dyDescent="0.2">
      <c r="E209" s="74"/>
    </row>
    <row r="210" spans="5:5" x14ac:dyDescent="0.2">
      <c r="E210" s="74"/>
    </row>
    <row r="211" spans="5:5" x14ac:dyDescent="0.2">
      <c r="E211" s="74"/>
    </row>
    <row r="212" spans="5:5" x14ac:dyDescent="0.2">
      <c r="E212" s="74"/>
    </row>
    <row r="213" spans="5:5" x14ac:dyDescent="0.2">
      <c r="E213" s="74"/>
    </row>
    <row r="214" spans="5:5" x14ac:dyDescent="0.2">
      <c r="E214" s="74"/>
    </row>
    <row r="215" spans="5:5" x14ac:dyDescent="0.2">
      <c r="E215" s="74"/>
    </row>
    <row r="216" spans="5:5" x14ac:dyDescent="0.2">
      <c r="E216" s="74"/>
    </row>
    <row r="217" spans="5:5" x14ac:dyDescent="0.2">
      <c r="E217" s="74"/>
    </row>
    <row r="218" spans="5:5" x14ac:dyDescent="0.2">
      <c r="E218" s="74"/>
    </row>
    <row r="219" spans="5:5" x14ac:dyDescent="0.2">
      <c r="E219" s="74"/>
    </row>
    <row r="220" spans="5:5" x14ac:dyDescent="0.2">
      <c r="E220" s="74"/>
    </row>
    <row r="221" spans="5:5" x14ac:dyDescent="0.2">
      <c r="E221" s="74"/>
    </row>
    <row r="222" spans="5:5" x14ac:dyDescent="0.2">
      <c r="E222" s="74"/>
    </row>
    <row r="223" spans="5:5" x14ac:dyDescent="0.2">
      <c r="E223" s="74"/>
    </row>
    <row r="224" spans="5:5" x14ac:dyDescent="0.2">
      <c r="E224" s="74"/>
    </row>
    <row r="225" spans="1:7" x14ac:dyDescent="0.2">
      <c r="E225" s="74"/>
    </row>
    <row r="226" spans="1:7" x14ac:dyDescent="0.2">
      <c r="E226" s="74"/>
    </row>
    <row r="227" spans="1:7" x14ac:dyDescent="0.2">
      <c r="E227" s="74"/>
    </row>
    <row r="228" spans="1:7" x14ac:dyDescent="0.2">
      <c r="E228" s="74"/>
    </row>
    <row r="229" spans="1:7" x14ac:dyDescent="0.2">
      <c r="E229" s="74"/>
    </row>
    <row r="230" spans="1:7" x14ac:dyDescent="0.2">
      <c r="E230" s="74"/>
    </row>
    <row r="231" spans="1:7" x14ac:dyDescent="0.2">
      <c r="E231" s="74"/>
    </row>
    <row r="232" spans="1:7" x14ac:dyDescent="0.2">
      <c r="E232" s="74"/>
    </row>
    <row r="233" spans="1:7" x14ac:dyDescent="0.2">
      <c r="A233" s="85"/>
      <c r="B233" s="85"/>
    </row>
    <row r="234" spans="1:7" x14ac:dyDescent="0.2">
      <c r="C234" s="86"/>
      <c r="D234" s="86"/>
      <c r="E234" s="87"/>
      <c r="F234" s="86"/>
      <c r="G234" s="88"/>
    </row>
    <row r="235" spans="1:7" x14ac:dyDescent="0.2">
      <c r="A235" s="85"/>
      <c r="B23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3" manualBreakCount="3">
    <brk id="50" max="6" man="1"/>
    <brk id="97" max="6" man="1"/>
    <brk id="18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28171-3789-4685-B833-E385154A7277}">
  <sheetPr>
    <pageSetUpPr fitToPage="1"/>
  </sheetPr>
  <dimension ref="A1:O12"/>
  <sheetViews>
    <sheetView workbookViewId="0">
      <selection sqref="A1:G1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5" ht="15.75" x14ac:dyDescent="0.25">
      <c r="A1" s="380" t="s">
        <v>689</v>
      </c>
      <c r="B1" s="380"/>
      <c r="C1" s="380"/>
      <c r="D1" s="380"/>
      <c r="E1" s="380"/>
      <c r="F1" s="380"/>
      <c r="G1" s="380"/>
    </row>
    <row r="2" spans="1:15" ht="16.5" thickBot="1" x14ac:dyDescent="0.3">
      <c r="A2" s="380"/>
      <c r="B2" s="380"/>
      <c r="C2" s="380"/>
      <c r="D2" s="380"/>
      <c r="E2" s="380"/>
      <c r="F2" s="380"/>
      <c r="G2" s="380"/>
    </row>
    <row r="3" spans="1:15" ht="15.75" thickTop="1" x14ac:dyDescent="0.25">
      <c r="A3" s="381" t="s">
        <v>4</v>
      </c>
      <c r="B3" s="382"/>
      <c r="C3" s="275" t="str">
        <f>CONCATENATE(cislostavby," ",nazevstavby)</f>
        <v xml:space="preserve"> REKONSTRUKCE PROSTOR PRO DOKTORANDSKÁ STUDIA</v>
      </c>
      <c r="D3" s="274"/>
      <c r="E3" s="273"/>
      <c r="F3" s="272"/>
      <c r="G3" s="271" t="s">
        <v>20</v>
      </c>
    </row>
    <row r="4" spans="1:15" ht="15.75" thickBot="1" x14ac:dyDescent="0.3">
      <c r="A4" s="383" t="s">
        <v>1</v>
      </c>
      <c r="B4" s="384"/>
      <c r="C4" s="270" t="str">
        <f>CONCATENATE(cisloobjektu," ",nazevobjektu)</f>
        <v xml:space="preserve"> FF UK OSIP PRAHA 1, NÁM. JANA PALACHA 2</v>
      </c>
      <c r="D4" s="269"/>
      <c r="E4" s="385"/>
      <c r="F4" s="385"/>
      <c r="G4" s="386"/>
    </row>
    <row r="5" spans="1:15" ht="15.75" thickTop="1" x14ac:dyDescent="0.25">
      <c r="A5" s="268"/>
      <c r="B5" s="267"/>
      <c r="C5" s="205"/>
      <c r="D5" s="205"/>
      <c r="E5" s="266"/>
      <c r="F5" s="205"/>
      <c r="G5" s="205"/>
    </row>
    <row r="6" spans="1:15" ht="54" customHeight="1" x14ac:dyDescent="0.25">
      <c r="A6" s="265" t="s">
        <v>51</v>
      </c>
      <c r="B6" s="264" t="s">
        <v>52</v>
      </c>
      <c r="C6" s="264" t="s">
        <v>53</v>
      </c>
      <c r="D6" s="264" t="s">
        <v>54</v>
      </c>
      <c r="E6" s="264" t="s">
        <v>55</v>
      </c>
      <c r="F6" s="264" t="s">
        <v>56</v>
      </c>
      <c r="G6" s="263" t="s">
        <v>57</v>
      </c>
      <c r="H6" s="262" t="s">
        <v>679</v>
      </c>
      <c r="J6" s="261" t="s">
        <v>678</v>
      </c>
      <c r="K6" s="261" t="s">
        <v>677</v>
      </c>
      <c r="L6" s="261" t="s">
        <v>676</v>
      </c>
      <c r="M6" s="261" t="s">
        <v>675</v>
      </c>
    </row>
    <row r="7" spans="1:15" s="205" customFormat="1" x14ac:dyDescent="0.25">
      <c r="A7" s="226" t="s">
        <v>58</v>
      </c>
      <c r="B7" s="225" t="s">
        <v>165</v>
      </c>
      <c r="C7" s="224" t="s">
        <v>166</v>
      </c>
      <c r="D7" s="219"/>
      <c r="E7" s="223"/>
      <c r="F7" s="222"/>
      <c r="G7" s="221"/>
      <c r="H7" s="241"/>
      <c r="I7" s="196"/>
      <c r="J7" s="196"/>
      <c r="K7" s="196"/>
      <c r="L7" s="196"/>
      <c r="O7" s="196"/>
    </row>
    <row r="8" spans="1:15" s="205" customFormat="1" ht="22.5" x14ac:dyDescent="0.25">
      <c r="A8" s="219" t="s">
        <v>637</v>
      </c>
      <c r="B8" s="230" t="s">
        <v>688</v>
      </c>
      <c r="C8" s="217" t="s">
        <v>687</v>
      </c>
      <c r="D8" s="216" t="s">
        <v>76</v>
      </c>
      <c r="E8" s="215">
        <v>1</v>
      </c>
      <c r="F8" s="215">
        <f>(1495+850+600+2730)*1.15</f>
        <v>6526.2499999999991</v>
      </c>
      <c r="G8" s="214">
        <f>E8*F8</f>
        <v>6526.2499999999991</v>
      </c>
      <c r="H8" s="213" t="s">
        <v>635</v>
      </c>
      <c r="I8" s="196"/>
      <c r="J8" s="196"/>
      <c r="K8" s="196"/>
      <c r="L8" s="196"/>
      <c r="O8" s="196"/>
    </row>
    <row r="9" spans="1:15" x14ac:dyDescent="0.25">
      <c r="A9" s="219"/>
      <c r="B9" s="239"/>
      <c r="C9" s="278" t="s">
        <v>690</v>
      </c>
      <c r="D9" s="277"/>
      <c r="E9" s="276"/>
      <c r="F9" s="229"/>
      <c r="G9" s="235"/>
      <c r="H9" s="213"/>
    </row>
    <row r="10" spans="1:15" s="205" customFormat="1" x14ac:dyDescent="0.25">
      <c r="A10" s="210"/>
      <c r="B10" s="212" t="s">
        <v>81</v>
      </c>
      <c r="C10" s="211" t="s">
        <v>682</v>
      </c>
      <c r="D10" s="210"/>
      <c r="E10" s="209"/>
      <c r="F10" s="208"/>
      <c r="G10" s="207">
        <f>SUM(G7:G8)</f>
        <v>6526.2499999999991</v>
      </c>
      <c r="H10" s="206"/>
      <c r="I10" s="196"/>
      <c r="J10" s="196"/>
      <c r="K10" s="196"/>
      <c r="L10" s="196"/>
    </row>
    <row r="12" spans="1:15" x14ac:dyDescent="0.25">
      <c r="A12" s="202"/>
      <c r="B12" s="204" t="s">
        <v>81</v>
      </c>
      <c r="C12" s="203"/>
      <c r="D12" s="202"/>
      <c r="E12" s="201"/>
      <c r="F12" s="200"/>
      <c r="G12" s="199">
        <f>G10</f>
        <v>6526.2499999999991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5"/>
  <sheetViews>
    <sheetView workbookViewId="0">
      <selection sqref="A1:G1"/>
    </sheetView>
  </sheetViews>
  <sheetFormatPr defaultColWidth="9.140625" defaultRowHeight="12.75" x14ac:dyDescent="0.2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75" x14ac:dyDescent="0.25">
      <c r="A1" s="369" t="s">
        <v>50</v>
      </c>
      <c r="B1" s="369"/>
      <c r="C1" s="369"/>
      <c r="D1" s="369"/>
      <c r="E1" s="369"/>
      <c r="F1" s="369"/>
      <c r="G1" s="369"/>
    </row>
    <row r="2" spans="1:10" ht="13.5" thickBot="1" x14ac:dyDescent="0.25">
      <c r="B2" s="75"/>
      <c r="C2" s="76"/>
      <c r="D2" s="76"/>
      <c r="E2" s="77"/>
      <c r="F2" s="76"/>
      <c r="G2" s="76"/>
    </row>
    <row r="3" spans="1:10" ht="13.5" thickTop="1" x14ac:dyDescent="0.2">
      <c r="A3" s="362" t="s">
        <v>4</v>
      </c>
      <c r="B3" s="363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21</v>
      </c>
    </row>
    <row r="4" spans="1:10" ht="13.5" thickBot="1" x14ac:dyDescent="0.25">
      <c r="A4" s="370" t="s">
        <v>1</v>
      </c>
      <c r="B4" s="365"/>
      <c r="C4" s="58" t="str">
        <f>CONCATENATE(cisloobjektu," ",nazevobjektu)</f>
        <v xml:space="preserve"> FF UK OSIP PRAHA 1, NÁM. JANA PALACHA 2</v>
      </c>
      <c r="D4" s="59"/>
      <c r="E4" s="371"/>
      <c r="F4" s="371"/>
      <c r="G4" s="372"/>
    </row>
    <row r="5" spans="1:10" ht="13.5" thickTop="1" x14ac:dyDescent="0.2">
      <c r="A5" s="80"/>
    </row>
    <row r="6" spans="1:10" x14ac:dyDescent="0.2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x14ac:dyDescent="0.2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3.75" x14ac:dyDescent="0.2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SUM(E9:E15)</f>
        <v>14</v>
      </c>
      <c r="F8" s="109">
        <v>1150</v>
      </c>
      <c r="G8" s="150">
        <f t="shared" ref="G8:G16" si="0">E8*F8</f>
        <v>16100</v>
      </c>
      <c r="H8" s="136"/>
      <c r="I8" s="114"/>
      <c r="J8" s="111"/>
    </row>
    <row r="9" spans="1:10" x14ac:dyDescent="0.2">
      <c r="A9" s="149"/>
      <c r="B9" s="120"/>
      <c r="C9" s="151" t="s">
        <v>391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x14ac:dyDescent="0.2">
      <c r="A10" s="149"/>
      <c r="B10" s="120"/>
      <c r="C10" s="151" t="s">
        <v>392</v>
      </c>
      <c r="D10" s="152"/>
      <c r="E10" s="126">
        <f t="shared" ref="E10:E15" si="1">2*1*1</f>
        <v>2</v>
      </c>
      <c r="F10" s="109"/>
      <c r="G10" s="150"/>
      <c r="H10" s="136"/>
      <c r="I10" s="114"/>
      <c r="J10" s="111"/>
    </row>
    <row r="11" spans="1:10" x14ac:dyDescent="0.2">
      <c r="A11" s="149"/>
      <c r="B11" s="120"/>
      <c r="C11" s="151" t="s">
        <v>393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x14ac:dyDescent="0.2">
      <c r="A12" s="149"/>
      <c r="B12" s="120"/>
      <c r="C12" s="151" t="s">
        <v>394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x14ac:dyDescent="0.2">
      <c r="A13" s="149"/>
      <c r="B13" s="120"/>
      <c r="C13" s="151" t="s">
        <v>395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x14ac:dyDescent="0.2">
      <c r="A14" s="149"/>
      <c r="B14" s="120"/>
      <c r="C14" s="151" t="s">
        <v>396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x14ac:dyDescent="0.2">
      <c r="A15" s="149"/>
      <c r="B15" s="120"/>
      <c r="C15" s="151" t="s">
        <v>397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ht="22.5" x14ac:dyDescent="0.2">
      <c r="A16" s="96">
        <v>2</v>
      </c>
      <c r="B16" s="120" t="s">
        <v>68</v>
      </c>
      <c r="C16" s="98" t="s">
        <v>69</v>
      </c>
      <c r="D16" s="99" t="s">
        <v>63</v>
      </c>
      <c r="E16" s="109">
        <f>SUM(E17:E20)</f>
        <v>155.72</v>
      </c>
      <c r="F16" s="109">
        <v>280</v>
      </c>
      <c r="G16" s="101">
        <f t="shared" si="0"/>
        <v>43601.599999999999</v>
      </c>
      <c r="I16" s="114"/>
      <c r="J16" s="111"/>
    </row>
    <row r="17" spans="1:10" x14ac:dyDescent="0.2">
      <c r="A17" s="96"/>
      <c r="B17" s="120"/>
      <c r="C17" s="124" t="s">
        <v>398</v>
      </c>
      <c r="D17" s="125"/>
      <c r="E17" s="126">
        <f>6.8*3.7</f>
        <v>25.16</v>
      </c>
      <c r="F17" s="109"/>
      <c r="G17" s="101"/>
      <c r="I17" s="114"/>
      <c r="J17" s="111"/>
    </row>
    <row r="18" spans="1:10" x14ac:dyDescent="0.2">
      <c r="A18" s="96"/>
      <c r="B18" s="120"/>
      <c r="C18" s="124" t="s">
        <v>399</v>
      </c>
      <c r="D18" s="125"/>
      <c r="E18" s="126">
        <f>6.8*3.7</f>
        <v>25.16</v>
      </c>
      <c r="F18" s="109"/>
      <c r="G18" s="101"/>
      <c r="I18" s="114"/>
      <c r="J18" s="111"/>
    </row>
    <row r="19" spans="1:10" x14ac:dyDescent="0.2">
      <c r="A19" s="96"/>
      <c r="B19" s="120"/>
      <c r="C19" s="124" t="s">
        <v>400</v>
      </c>
      <c r="D19" s="125"/>
      <c r="E19" s="126">
        <f>6.8*8.5</f>
        <v>57.8</v>
      </c>
      <c r="F19" s="109"/>
      <c r="G19" s="101"/>
      <c r="I19" s="156"/>
      <c r="J19" s="111"/>
    </row>
    <row r="20" spans="1:10" x14ac:dyDescent="0.2">
      <c r="A20" s="96"/>
      <c r="B20" s="120"/>
      <c r="C20" s="124" t="s">
        <v>401</v>
      </c>
      <c r="D20" s="125"/>
      <c r="E20" s="126">
        <f>5.6*8.5</f>
        <v>47.599999999999994</v>
      </c>
      <c r="F20" s="109"/>
      <c r="G20" s="101"/>
      <c r="I20" s="114"/>
      <c r="J20" s="111"/>
    </row>
    <row r="21" spans="1:10" x14ac:dyDescent="0.2">
      <c r="A21" s="96">
        <v>3</v>
      </c>
      <c r="B21" s="120" t="s">
        <v>74</v>
      </c>
      <c r="C21" s="98" t="s">
        <v>257</v>
      </c>
      <c r="D21" s="99" t="s">
        <v>63</v>
      </c>
      <c r="E21" s="109">
        <f>SUM(E22:E22)</f>
        <v>25.16</v>
      </c>
      <c r="F21" s="109">
        <v>770</v>
      </c>
      <c r="G21" s="101">
        <f t="shared" ref="G21" si="2">E21*F21</f>
        <v>19373.2</v>
      </c>
      <c r="I21" s="114"/>
      <c r="J21" s="111"/>
    </row>
    <row r="22" spans="1:10" x14ac:dyDescent="0.2">
      <c r="A22" s="96"/>
      <c r="B22" s="120"/>
      <c r="C22" s="124" t="s">
        <v>402</v>
      </c>
      <c r="D22" s="125"/>
      <c r="E22" s="126">
        <f>6.8*3.7</f>
        <v>25.16</v>
      </c>
      <c r="F22" s="109"/>
      <c r="G22" s="101"/>
      <c r="I22" s="114"/>
      <c r="J22" s="111"/>
    </row>
    <row r="23" spans="1:10" ht="33.75" x14ac:dyDescent="0.2">
      <c r="A23" s="93">
        <v>4</v>
      </c>
      <c r="B23" s="120" t="s">
        <v>403</v>
      </c>
      <c r="C23" s="148" t="s">
        <v>404</v>
      </c>
      <c r="D23" s="99" t="s">
        <v>76</v>
      </c>
      <c r="E23" s="109">
        <v>1</v>
      </c>
      <c r="F23" s="109">
        <v>1500</v>
      </c>
      <c r="G23" s="101">
        <f t="shared" ref="G23" si="3">E23*F23</f>
        <v>1500</v>
      </c>
      <c r="I23" s="114"/>
      <c r="J23" s="111"/>
    </row>
    <row r="24" spans="1:10" x14ac:dyDescent="0.2">
      <c r="A24" s="102"/>
      <c r="B24" s="121" t="s">
        <v>81</v>
      </c>
      <c r="C24" s="104" t="str">
        <f>CONCATENATE(B7," ",C7)</f>
        <v>4 Vodorovné konstukce</v>
      </c>
      <c r="D24" s="102"/>
      <c r="E24" s="118"/>
      <c r="F24" s="105"/>
      <c r="G24" s="106">
        <f>SUM(G7:G23)</f>
        <v>80574.8</v>
      </c>
      <c r="I24" s="114"/>
      <c r="J24" s="111"/>
    </row>
    <row r="25" spans="1:10" x14ac:dyDescent="0.2">
      <c r="A25" s="90" t="s">
        <v>58</v>
      </c>
      <c r="B25" s="119" t="s">
        <v>82</v>
      </c>
      <c r="C25" s="92" t="s">
        <v>83</v>
      </c>
      <c r="D25" s="93"/>
      <c r="E25" s="117"/>
      <c r="F25" s="94"/>
      <c r="G25" s="95"/>
      <c r="I25" s="112"/>
      <c r="J25" s="111"/>
    </row>
    <row r="26" spans="1:10" x14ac:dyDescent="0.2">
      <c r="A26" s="96">
        <v>5</v>
      </c>
      <c r="B26" s="120" t="s">
        <v>84</v>
      </c>
      <c r="C26" s="98" t="s">
        <v>85</v>
      </c>
      <c r="D26" s="99" t="s">
        <v>86</v>
      </c>
      <c r="E26" s="109">
        <f>SUM(E27:E33)</f>
        <v>127.49999999999997</v>
      </c>
      <c r="F26" s="100">
        <v>95</v>
      </c>
      <c r="G26" s="101">
        <f t="shared" ref="G26:G55" si="4">E26*F26</f>
        <v>12112.499999999998</v>
      </c>
      <c r="H26" s="136"/>
      <c r="I26" s="113"/>
      <c r="J26" s="111"/>
    </row>
    <row r="27" spans="1:10" x14ac:dyDescent="0.2">
      <c r="A27" s="96"/>
      <c r="B27" s="120"/>
      <c r="C27" s="124" t="s">
        <v>405</v>
      </c>
      <c r="D27" s="125"/>
      <c r="E27" s="126">
        <f>1.9+2.4*2+1.3+2.3*2</f>
        <v>12.599999999999998</v>
      </c>
      <c r="F27" s="100"/>
      <c r="G27" s="101"/>
      <c r="I27" s="113"/>
      <c r="J27" s="111"/>
    </row>
    <row r="28" spans="1:10" x14ac:dyDescent="0.2">
      <c r="A28" s="96"/>
      <c r="B28" s="120"/>
      <c r="C28" s="124" t="s">
        <v>406</v>
      </c>
      <c r="D28" s="125"/>
      <c r="E28" s="126">
        <f>1.3+2.3*2+1.7+2.4*2+3.1+2.4*2</f>
        <v>20.299999999999997</v>
      </c>
      <c r="F28" s="100"/>
      <c r="G28" s="101"/>
      <c r="I28" s="113"/>
      <c r="J28" s="111"/>
    </row>
    <row r="29" spans="1:10" x14ac:dyDescent="0.2">
      <c r="A29" s="96"/>
      <c r="B29" s="120"/>
      <c r="C29" s="124" t="s">
        <v>407</v>
      </c>
      <c r="D29" s="125"/>
      <c r="E29" s="126">
        <f>1.9*2+2.4*2*2+1.3+2.3*2</f>
        <v>19.299999999999997</v>
      </c>
      <c r="F29" s="100"/>
      <c r="G29" s="101"/>
      <c r="I29" s="113"/>
      <c r="J29" s="111"/>
    </row>
    <row r="30" spans="1:10" x14ac:dyDescent="0.2">
      <c r="A30" s="96"/>
      <c r="B30" s="120"/>
      <c r="C30" s="124" t="s">
        <v>408</v>
      </c>
      <c r="D30" s="125"/>
      <c r="E30" s="126">
        <f>1.9+2.4*2+1.3+2.3*2</f>
        <v>12.599999999999998</v>
      </c>
      <c r="F30" s="100"/>
      <c r="G30" s="101"/>
      <c r="I30" s="113"/>
      <c r="J30" s="111"/>
    </row>
    <row r="31" spans="1:10" x14ac:dyDescent="0.2">
      <c r="A31" s="96"/>
      <c r="B31" s="120"/>
      <c r="C31" s="124" t="s">
        <v>409</v>
      </c>
      <c r="D31" s="125"/>
      <c r="E31" s="126">
        <f>1.9+2.4*2+1.3+2.3*2</f>
        <v>12.599999999999998</v>
      </c>
      <c r="F31" s="100"/>
      <c r="G31" s="101"/>
      <c r="I31" s="113"/>
      <c r="J31" s="111"/>
    </row>
    <row r="32" spans="1:10" x14ac:dyDescent="0.2">
      <c r="A32" s="96"/>
      <c r="B32" s="120"/>
      <c r="C32" s="124" t="s">
        <v>410</v>
      </c>
      <c r="D32" s="125"/>
      <c r="E32" s="126">
        <f>1.6+2.4*2+2.3+2.4*2+1.3*3+2.3*2*3</f>
        <v>31.199999999999996</v>
      </c>
      <c r="F32" s="100"/>
      <c r="G32" s="101"/>
      <c r="I32" s="113"/>
      <c r="J32" s="111"/>
    </row>
    <row r="33" spans="1:10" x14ac:dyDescent="0.2">
      <c r="A33" s="96"/>
      <c r="B33" s="120"/>
      <c r="C33" s="124" t="s">
        <v>411</v>
      </c>
      <c r="D33" s="125"/>
      <c r="E33" s="126">
        <f>2.3+2.4*2+1.3*2+2.3*2*2</f>
        <v>18.899999999999999</v>
      </c>
      <c r="F33" s="100"/>
      <c r="G33" s="101"/>
      <c r="I33" s="113"/>
      <c r="J33" s="111"/>
    </row>
    <row r="34" spans="1:10" ht="22.5" x14ac:dyDescent="0.2">
      <c r="A34" s="96">
        <v>6</v>
      </c>
      <c r="B34" s="97" t="s">
        <v>91</v>
      </c>
      <c r="C34" s="98" t="s">
        <v>92</v>
      </c>
      <c r="D34" s="99" t="s">
        <v>63</v>
      </c>
      <c r="E34" s="109">
        <f>SUM(E35:E41)</f>
        <v>695.5200000000001</v>
      </c>
      <c r="F34" s="100">
        <v>260</v>
      </c>
      <c r="G34" s="101">
        <f t="shared" si="4"/>
        <v>180835.20000000001</v>
      </c>
      <c r="H34" s="138"/>
      <c r="I34" s="113"/>
      <c r="J34" s="111"/>
    </row>
    <row r="35" spans="1:10" x14ac:dyDescent="0.2">
      <c r="A35" s="96"/>
      <c r="B35" s="97"/>
      <c r="C35" s="124" t="s">
        <v>412</v>
      </c>
      <c r="D35" s="125"/>
      <c r="E35" s="126">
        <f>(6.8+3.7)*2*3.7</f>
        <v>77.7</v>
      </c>
      <c r="F35" s="100"/>
      <c r="G35" s="101"/>
      <c r="H35" s="116"/>
      <c r="I35" s="113"/>
      <c r="J35" s="111"/>
    </row>
    <row r="36" spans="1:10" x14ac:dyDescent="0.2">
      <c r="A36" s="96"/>
      <c r="B36" s="97"/>
      <c r="C36" s="124" t="s">
        <v>413</v>
      </c>
      <c r="D36" s="125"/>
      <c r="E36" s="126">
        <f>(6.7+10.4)*2*3.5</f>
        <v>119.70000000000002</v>
      </c>
      <c r="F36" s="100"/>
      <c r="G36" s="101"/>
      <c r="H36" s="116"/>
      <c r="I36" s="113"/>
      <c r="J36" s="111"/>
    </row>
    <row r="37" spans="1:10" x14ac:dyDescent="0.2">
      <c r="A37" s="96"/>
      <c r="B37" s="97"/>
      <c r="C37" s="124" t="s">
        <v>414</v>
      </c>
      <c r="D37" s="125"/>
      <c r="E37" s="126">
        <f>(6.8+7.6)*2*3.5</f>
        <v>100.79999999999998</v>
      </c>
      <c r="F37" s="100"/>
      <c r="G37" s="101"/>
      <c r="H37" s="116"/>
      <c r="I37" s="113"/>
      <c r="J37" s="111"/>
    </row>
    <row r="38" spans="1:10" x14ac:dyDescent="0.2">
      <c r="A38" s="96"/>
      <c r="B38" s="97"/>
      <c r="C38" s="124" t="s">
        <v>415</v>
      </c>
      <c r="D38" s="125"/>
      <c r="E38" s="126">
        <f>(6.8+3.7)*2*4</f>
        <v>84</v>
      </c>
      <c r="F38" s="100"/>
      <c r="G38" s="101"/>
      <c r="H38" s="116"/>
      <c r="I38" s="113"/>
      <c r="J38" s="111"/>
    </row>
    <row r="39" spans="1:10" x14ac:dyDescent="0.2">
      <c r="A39" s="96"/>
      <c r="B39" s="97"/>
      <c r="C39" s="124" t="s">
        <v>416</v>
      </c>
      <c r="D39" s="125"/>
      <c r="E39" s="126">
        <f>(6.8+3.7)*2*4</f>
        <v>84</v>
      </c>
      <c r="F39" s="100"/>
      <c r="G39" s="101"/>
      <c r="H39" s="116"/>
      <c r="I39" s="113"/>
      <c r="J39" s="111"/>
    </row>
    <row r="40" spans="1:10" x14ac:dyDescent="0.2">
      <c r="A40" s="96"/>
      <c r="B40" s="97"/>
      <c r="C40" s="124" t="s">
        <v>417</v>
      </c>
      <c r="D40" s="125"/>
      <c r="E40" s="126">
        <f>(6.8+8.5)*2*3.9</f>
        <v>119.34</v>
      </c>
      <c r="F40" s="100"/>
      <c r="G40" s="101"/>
      <c r="H40" s="116"/>
      <c r="I40" s="113"/>
      <c r="J40" s="111"/>
    </row>
    <row r="41" spans="1:10" x14ac:dyDescent="0.2">
      <c r="A41" s="96"/>
      <c r="B41" s="97"/>
      <c r="C41" s="124" t="s">
        <v>418</v>
      </c>
      <c r="D41" s="125"/>
      <c r="E41" s="126">
        <f>(5.6+8.5)*2*3.9</f>
        <v>109.97999999999999</v>
      </c>
      <c r="F41" s="100"/>
      <c r="G41" s="101"/>
      <c r="H41" s="116"/>
      <c r="I41" s="113"/>
      <c r="J41" s="111"/>
    </row>
    <row r="42" spans="1:10" x14ac:dyDescent="0.2">
      <c r="A42" s="96">
        <v>7</v>
      </c>
      <c r="B42" s="120" t="s">
        <v>97</v>
      </c>
      <c r="C42" s="98" t="s">
        <v>98</v>
      </c>
      <c r="D42" s="99" t="s">
        <v>63</v>
      </c>
      <c r="E42" s="109">
        <f>SUM(E43:E49)</f>
        <v>42.65</v>
      </c>
      <c r="F42" s="100">
        <v>190</v>
      </c>
      <c r="G42" s="101">
        <f t="shared" si="4"/>
        <v>8103.5</v>
      </c>
      <c r="H42" s="138"/>
      <c r="I42" s="113"/>
      <c r="J42" s="111"/>
    </row>
    <row r="43" spans="1:10" x14ac:dyDescent="0.2">
      <c r="A43" s="96"/>
      <c r="B43" s="97"/>
      <c r="C43" s="124" t="s">
        <v>419</v>
      </c>
      <c r="D43" s="125"/>
      <c r="E43" s="126">
        <f>1.9*1.3</f>
        <v>2.4699999999999998</v>
      </c>
      <c r="F43" s="100"/>
      <c r="G43" s="101"/>
      <c r="H43" s="116"/>
      <c r="I43" s="113"/>
      <c r="J43" s="111"/>
    </row>
    <row r="44" spans="1:10" x14ac:dyDescent="0.2">
      <c r="A44" s="96"/>
      <c r="B44" s="97"/>
      <c r="C44" s="124" t="s">
        <v>420</v>
      </c>
      <c r="D44" s="125"/>
      <c r="E44" s="126">
        <f>1.7*1.3+3.1*1.3+2*2</f>
        <v>10.24</v>
      </c>
      <c r="F44" s="100"/>
      <c r="G44" s="101"/>
      <c r="H44" s="116"/>
      <c r="I44" s="113"/>
      <c r="J44" s="111"/>
    </row>
    <row r="45" spans="1:10" x14ac:dyDescent="0.2">
      <c r="A45" s="96"/>
      <c r="B45" s="97"/>
      <c r="C45" s="124" t="s">
        <v>421</v>
      </c>
      <c r="D45" s="125"/>
      <c r="E45" s="126">
        <f>1.9*1.3*2+2*2</f>
        <v>8.94</v>
      </c>
      <c r="F45" s="100"/>
      <c r="G45" s="101"/>
      <c r="H45" s="116"/>
      <c r="I45" s="113"/>
      <c r="J45" s="111"/>
    </row>
    <row r="46" spans="1:10" x14ac:dyDescent="0.2">
      <c r="A46" s="96"/>
      <c r="B46" s="97"/>
      <c r="C46" s="124" t="s">
        <v>422</v>
      </c>
      <c r="D46" s="125"/>
      <c r="E46" s="126">
        <f>1.9*1.3</f>
        <v>2.4699999999999998</v>
      </c>
      <c r="F46" s="100"/>
      <c r="G46" s="101"/>
      <c r="H46" s="116"/>
      <c r="I46" s="113"/>
      <c r="J46" s="111"/>
    </row>
    <row r="47" spans="1:10" x14ac:dyDescent="0.2">
      <c r="A47" s="96"/>
      <c r="B47" s="97"/>
      <c r="C47" s="124" t="s">
        <v>423</v>
      </c>
      <c r="D47" s="125"/>
      <c r="E47" s="126">
        <f>1.9*1.3</f>
        <v>2.4699999999999998</v>
      </c>
      <c r="F47" s="100"/>
      <c r="G47" s="101"/>
      <c r="H47" s="116"/>
      <c r="I47" s="113"/>
      <c r="J47" s="111"/>
    </row>
    <row r="48" spans="1:10" x14ac:dyDescent="0.2">
      <c r="A48" s="96"/>
      <c r="B48" s="97"/>
      <c r="C48" s="124" t="s">
        <v>424</v>
      </c>
      <c r="D48" s="125"/>
      <c r="E48" s="126">
        <f>1.6*1.3+2.3*1.3+2*2</f>
        <v>9.07</v>
      </c>
      <c r="F48" s="100"/>
      <c r="G48" s="101"/>
      <c r="H48" s="116"/>
      <c r="I48" s="113"/>
      <c r="J48" s="111"/>
    </row>
    <row r="49" spans="1:10" x14ac:dyDescent="0.2">
      <c r="A49" s="96"/>
      <c r="B49" s="97"/>
      <c r="C49" s="124" t="s">
        <v>425</v>
      </c>
      <c r="D49" s="125"/>
      <c r="E49" s="126">
        <f>2.3*1.3+2*2</f>
        <v>6.99</v>
      </c>
      <c r="F49" s="100"/>
      <c r="G49" s="101"/>
      <c r="H49" s="116"/>
      <c r="I49" s="113"/>
      <c r="J49" s="111"/>
    </row>
    <row r="50" spans="1:10" ht="22.5" x14ac:dyDescent="0.2">
      <c r="A50" s="96">
        <v>8</v>
      </c>
      <c r="B50" s="97" t="s">
        <v>103</v>
      </c>
      <c r="C50" s="98" t="s">
        <v>104</v>
      </c>
      <c r="D50" s="99" t="s">
        <v>63</v>
      </c>
      <c r="E50" s="109">
        <f>SUM(E51:E54)</f>
        <v>155.72</v>
      </c>
      <c r="F50" s="100">
        <v>260</v>
      </c>
      <c r="G50" s="101">
        <f t="shared" si="4"/>
        <v>40487.199999999997</v>
      </c>
      <c r="H50" s="116"/>
      <c r="I50" s="113"/>
      <c r="J50" s="111"/>
    </row>
    <row r="51" spans="1:10" x14ac:dyDescent="0.2">
      <c r="A51" s="96"/>
      <c r="B51" s="97"/>
      <c r="C51" s="124" t="s">
        <v>398</v>
      </c>
      <c r="D51" s="125"/>
      <c r="E51" s="126">
        <f>6.8*3.7</f>
        <v>25.16</v>
      </c>
      <c r="F51" s="100"/>
      <c r="G51" s="101"/>
      <c r="H51" s="116"/>
      <c r="I51" s="113"/>
      <c r="J51" s="111"/>
    </row>
    <row r="52" spans="1:10" x14ac:dyDescent="0.2">
      <c r="A52" s="96"/>
      <c r="B52" s="97"/>
      <c r="C52" s="124" t="s">
        <v>399</v>
      </c>
      <c r="D52" s="125"/>
      <c r="E52" s="126">
        <f>6.8*3.7</f>
        <v>25.16</v>
      </c>
      <c r="F52" s="100"/>
      <c r="G52" s="101"/>
      <c r="H52" s="116"/>
      <c r="I52" s="113"/>
      <c r="J52" s="111"/>
    </row>
    <row r="53" spans="1:10" x14ac:dyDescent="0.2">
      <c r="A53" s="96"/>
      <c r="B53" s="97"/>
      <c r="C53" s="124" t="s">
        <v>400</v>
      </c>
      <c r="D53" s="125"/>
      <c r="E53" s="126">
        <f>6.8*8.5</f>
        <v>57.8</v>
      </c>
      <c r="F53" s="100"/>
      <c r="G53" s="101"/>
      <c r="H53" s="116"/>
      <c r="I53" s="113"/>
      <c r="J53" s="111"/>
    </row>
    <row r="54" spans="1:10" x14ac:dyDescent="0.2">
      <c r="A54" s="96"/>
      <c r="B54" s="97"/>
      <c r="C54" s="124" t="s">
        <v>401</v>
      </c>
      <c r="D54" s="125"/>
      <c r="E54" s="126">
        <f>5.6*8.5</f>
        <v>47.599999999999994</v>
      </c>
      <c r="F54" s="100"/>
      <c r="G54" s="101"/>
      <c r="H54" s="116"/>
      <c r="I54" s="113"/>
      <c r="J54" s="111"/>
    </row>
    <row r="55" spans="1:10" x14ac:dyDescent="0.2">
      <c r="A55" s="96">
        <v>9</v>
      </c>
      <c r="B55" s="120" t="s">
        <v>105</v>
      </c>
      <c r="C55" s="98" t="s">
        <v>106</v>
      </c>
      <c r="D55" s="99" t="s">
        <v>63</v>
      </c>
      <c r="E55" s="109">
        <f>SUM(E56:E62)</f>
        <v>79.099999999999994</v>
      </c>
      <c r="F55" s="100">
        <v>15</v>
      </c>
      <c r="G55" s="101">
        <f t="shared" si="4"/>
        <v>1186.5</v>
      </c>
      <c r="I55" s="113"/>
      <c r="J55" s="111"/>
    </row>
    <row r="56" spans="1:10" x14ac:dyDescent="0.2">
      <c r="A56" s="96"/>
      <c r="B56" s="120"/>
      <c r="C56" s="124" t="s">
        <v>426</v>
      </c>
      <c r="D56" s="125"/>
      <c r="E56" s="126">
        <f>1.9*2.4+1.3*2.3</f>
        <v>7.5499999999999989</v>
      </c>
      <c r="F56" s="100"/>
      <c r="G56" s="101"/>
      <c r="I56" s="113"/>
      <c r="J56" s="111"/>
    </row>
    <row r="57" spans="1:10" x14ac:dyDescent="0.2">
      <c r="A57" s="96"/>
      <c r="B57" s="120"/>
      <c r="C57" s="124" t="s">
        <v>427</v>
      </c>
      <c r="D57" s="125"/>
      <c r="E57" s="126">
        <f>1.3*2.3+1.7*2.4+3.1*2.4</f>
        <v>14.51</v>
      </c>
      <c r="F57" s="100"/>
      <c r="G57" s="101"/>
      <c r="I57" s="113"/>
      <c r="J57" s="111"/>
    </row>
    <row r="58" spans="1:10" x14ac:dyDescent="0.2">
      <c r="A58" s="96"/>
      <c r="B58" s="120"/>
      <c r="C58" s="124" t="s">
        <v>428</v>
      </c>
      <c r="D58" s="125"/>
      <c r="E58" s="126">
        <f>1.3*2.3+1.9*2.4*2</f>
        <v>12.11</v>
      </c>
      <c r="F58" s="100"/>
      <c r="G58" s="101"/>
      <c r="I58" s="113"/>
      <c r="J58" s="111"/>
    </row>
    <row r="59" spans="1:10" x14ac:dyDescent="0.2">
      <c r="A59" s="96"/>
      <c r="B59" s="120"/>
      <c r="C59" s="124" t="s">
        <v>429</v>
      </c>
      <c r="D59" s="125"/>
      <c r="E59" s="126">
        <f>1.9*2.4+1.3*2.3</f>
        <v>7.5499999999999989</v>
      </c>
      <c r="F59" s="100"/>
      <c r="G59" s="101"/>
      <c r="I59" s="113"/>
      <c r="J59" s="111"/>
    </row>
    <row r="60" spans="1:10" x14ac:dyDescent="0.2">
      <c r="A60" s="96"/>
      <c r="B60" s="120"/>
      <c r="C60" s="124" t="s">
        <v>430</v>
      </c>
      <c r="D60" s="125"/>
      <c r="E60" s="126">
        <f>1.9*2.4+1.3*2.3</f>
        <v>7.5499999999999989</v>
      </c>
      <c r="F60" s="100"/>
      <c r="G60" s="101"/>
      <c r="I60" s="113"/>
      <c r="J60" s="111"/>
    </row>
    <row r="61" spans="1:10" x14ac:dyDescent="0.2">
      <c r="A61" s="96"/>
      <c r="B61" s="120"/>
      <c r="C61" s="124" t="s">
        <v>431</v>
      </c>
      <c r="D61" s="125"/>
      <c r="E61" s="126">
        <f>1.6*2.4+2.3*2.4+1.3*2.3*3</f>
        <v>18.329999999999998</v>
      </c>
      <c r="F61" s="100"/>
      <c r="G61" s="101"/>
      <c r="I61" s="113"/>
      <c r="J61" s="111"/>
    </row>
    <row r="62" spans="1:10" x14ac:dyDescent="0.2">
      <c r="A62" s="96"/>
      <c r="B62" s="120"/>
      <c r="C62" s="124" t="s">
        <v>432</v>
      </c>
      <c r="D62" s="125"/>
      <c r="E62" s="126">
        <f>2.3*2.4+1.3*2.3*2</f>
        <v>11.5</v>
      </c>
      <c r="F62" s="100"/>
      <c r="G62" s="101"/>
      <c r="I62" s="113"/>
      <c r="J62" s="111"/>
    </row>
    <row r="63" spans="1:10" x14ac:dyDescent="0.2">
      <c r="A63" s="102"/>
      <c r="B63" s="121" t="s">
        <v>81</v>
      </c>
      <c r="C63" s="104" t="str">
        <f>CONCATENATE(B25," ",C25)</f>
        <v>61 Upravy povrchů vnitřní</v>
      </c>
      <c r="D63" s="102"/>
      <c r="E63" s="118"/>
      <c r="F63" s="105"/>
      <c r="G63" s="106">
        <f>SUM(G25:G62)</f>
        <v>242724.90000000002</v>
      </c>
      <c r="I63" s="114"/>
      <c r="J63" s="111"/>
    </row>
    <row r="64" spans="1:10" x14ac:dyDescent="0.2">
      <c r="A64" s="90" t="s">
        <v>58</v>
      </c>
      <c r="B64" s="119" t="s">
        <v>111</v>
      </c>
      <c r="C64" s="92" t="s">
        <v>112</v>
      </c>
      <c r="D64" s="93"/>
      <c r="E64" s="117"/>
      <c r="F64" s="94"/>
      <c r="G64" s="95"/>
      <c r="H64" s="115"/>
      <c r="I64" s="112"/>
      <c r="J64" s="111"/>
    </row>
    <row r="65" spans="1:10" ht="50.1" customHeight="1" x14ac:dyDescent="0.2">
      <c r="A65" s="96">
        <v>10</v>
      </c>
      <c r="B65" s="120" t="s">
        <v>113</v>
      </c>
      <c r="C65" s="107" t="s">
        <v>273</v>
      </c>
      <c r="D65" s="99" t="s">
        <v>76</v>
      </c>
      <c r="E65" s="109">
        <f>SUM(E66:E72)</f>
        <v>8</v>
      </c>
      <c r="F65" s="109">
        <v>35400</v>
      </c>
      <c r="G65" s="101">
        <f t="shared" ref="G65:G89" si="5">E65*F65</f>
        <v>283200</v>
      </c>
      <c r="H65" s="115"/>
      <c r="I65" s="113"/>
      <c r="J65" s="111"/>
    </row>
    <row r="66" spans="1:10" ht="12.75" customHeight="1" x14ac:dyDescent="0.2">
      <c r="A66" s="96"/>
      <c r="B66" s="120"/>
      <c r="C66" s="124" t="s">
        <v>433</v>
      </c>
      <c r="D66" s="125"/>
      <c r="E66" s="126">
        <v>1</v>
      </c>
      <c r="F66" s="109"/>
      <c r="G66" s="101"/>
      <c r="H66" s="115"/>
      <c r="I66" s="113"/>
      <c r="J66" s="111"/>
    </row>
    <row r="67" spans="1:10" ht="12.75" customHeight="1" x14ac:dyDescent="0.2">
      <c r="A67" s="96"/>
      <c r="B67" s="120"/>
      <c r="C67" s="124" t="s">
        <v>434</v>
      </c>
      <c r="D67" s="125"/>
      <c r="E67" s="126">
        <v>1</v>
      </c>
      <c r="F67" s="109"/>
      <c r="G67" s="101"/>
      <c r="H67" s="137"/>
      <c r="I67" s="113"/>
      <c r="J67" s="111"/>
    </row>
    <row r="68" spans="1:10" ht="12.75" customHeight="1" x14ac:dyDescent="0.2">
      <c r="A68" s="96"/>
      <c r="B68" s="120"/>
      <c r="C68" s="124" t="s">
        <v>435</v>
      </c>
      <c r="D68" s="125"/>
      <c r="E68" s="126">
        <v>1</v>
      </c>
      <c r="F68" s="109"/>
      <c r="G68" s="101"/>
      <c r="H68" s="137"/>
      <c r="I68" s="113"/>
      <c r="J68" s="111"/>
    </row>
    <row r="69" spans="1:10" ht="12.75" customHeight="1" x14ac:dyDescent="0.2">
      <c r="A69" s="96"/>
      <c r="B69" s="120"/>
      <c r="C69" s="124" t="s">
        <v>436</v>
      </c>
      <c r="D69" s="125"/>
      <c r="E69" s="126">
        <v>1</v>
      </c>
      <c r="F69" s="109"/>
      <c r="G69" s="101"/>
      <c r="H69" s="115"/>
      <c r="I69" s="113"/>
      <c r="J69" s="111"/>
    </row>
    <row r="70" spans="1:10" ht="12.75" customHeight="1" x14ac:dyDescent="0.2">
      <c r="A70" s="96"/>
      <c r="B70" s="120"/>
      <c r="C70" s="124" t="s">
        <v>437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 x14ac:dyDescent="0.2">
      <c r="A71" s="96"/>
      <c r="B71" s="120"/>
      <c r="C71" s="124" t="s">
        <v>438</v>
      </c>
      <c r="D71" s="125"/>
      <c r="E71" s="126">
        <v>2</v>
      </c>
      <c r="F71" s="109"/>
      <c r="G71" s="101"/>
      <c r="H71" s="115"/>
      <c r="I71" s="113"/>
      <c r="J71" s="111"/>
    </row>
    <row r="72" spans="1:10" ht="12.75" customHeight="1" x14ac:dyDescent="0.2">
      <c r="A72" s="96"/>
      <c r="B72" s="120"/>
      <c r="C72" s="124" t="s">
        <v>439</v>
      </c>
      <c r="D72" s="125"/>
      <c r="E72" s="126">
        <v>1</v>
      </c>
      <c r="F72" s="109"/>
      <c r="G72" s="101"/>
      <c r="H72" s="115"/>
      <c r="I72" s="113"/>
      <c r="J72" s="111"/>
    </row>
    <row r="73" spans="1:10" ht="23.25" customHeight="1" x14ac:dyDescent="0.2">
      <c r="A73" s="96">
        <v>11</v>
      </c>
      <c r="B73" s="120" t="s">
        <v>119</v>
      </c>
      <c r="C73" s="107" t="s">
        <v>277</v>
      </c>
      <c r="D73" s="99" t="s">
        <v>76</v>
      </c>
      <c r="E73" s="109">
        <f>SUM(E74:E77)</f>
        <v>4</v>
      </c>
      <c r="F73" s="109">
        <v>15000</v>
      </c>
      <c r="G73" s="101">
        <f t="shared" si="5"/>
        <v>60000</v>
      </c>
      <c r="H73" s="137"/>
      <c r="I73" s="113"/>
      <c r="J73" s="111"/>
    </row>
    <row r="74" spans="1:10" ht="12.75" customHeight="1" x14ac:dyDescent="0.2">
      <c r="A74" s="96"/>
      <c r="B74" s="120"/>
      <c r="C74" s="124" t="s">
        <v>434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 x14ac:dyDescent="0.2">
      <c r="A75" s="96"/>
      <c r="B75" s="120"/>
      <c r="C75" s="124" t="s">
        <v>435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 x14ac:dyDescent="0.2">
      <c r="A76" s="96"/>
      <c r="B76" s="120"/>
      <c r="C76" s="124" t="s">
        <v>440</v>
      </c>
      <c r="D76" s="125"/>
      <c r="E76" s="126">
        <v>1</v>
      </c>
      <c r="F76" s="109"/>
      <c r="G76" s="101"/>
      <c r="H76" s="115"/>
      <c r="I76" s="113"/>
      <c r="J76" s="111"/>
    </row>
    <row r="77" spans="1:10" ht="12.75" customHeight="1" x14ac:dyDescent="0.2">
      <c r="A77" s="96"/>
      <c r="B77" s="120"/>
      <c r="C77" s="124" t="s">
        <v>439</v>
      </c>
      <c r="D77" s="125"/>
      <c r="E77" s="126">
        <v>1</v>
      </c>
      <c r="F77" s="109"/>
      <c r="G77" s="101"/>
      <c r="H77" s="137"/>
      <c r="I77" s="113"/>
      <c r="J77" s="111"/>
    </row>
    <row r="78" spans="1:10" ht="50.25" customHeight="1" x14ac:dyDescent="0.2">
      <c r="A78" s="96">
        <v>12</v>
      </c>
      <c r="B78" s="120" t="s">
        <v>121</v>
      </c>
      <c r="C78" s="107" t="s">
        <v>122</v>
      </c>
      <c r="D78" s="99" t="s">
        <v>76</v>
      </c>
      <c r="E78" s="109">
        <f>SUM(E79:E80)</f>
        <v>3</v>
      </c>
      <c r="F78" s="109">
        <v>30400</v>
      </c>
      <c r="G78" s="101">
        <f t="shared" si="5"/>
        <v>91200</v>
      </c>
      <c r="H78" s="137"/>
      <c r="I78" s="113"/>
      <c r="J78" s="111"/>
    </row>
    <row r="79" spans="1:10" ht="12.75" customHeight="1" x14ac:dyDescent="0.2">
      <c r="A79" s="96"/>
      <c r="B79" s="120"/>
      <c r="C79" s="124" t="s">
        <v>438</v>
      </c>
      <c r="D79" s="125"/>
      <c r="E79" s="126">
        <v>2</v>
      </c>
      <c r="F79" s="109"/>
      <c r="G79" s="101"/>
      <c r="H79" s="137"/>
      <c r="I79" s="113"/>
      <c r="J79" s="111"/>
    </row>
    <row r="80" spans="1:10" ht="12.75" customHeight="1" x14ac:dyDescent="0.2">
      <c r="A80" s="96"/>
      <c r="B80" s="120"/>
      <c r="C80" s="124" t="s">
        <v>439</v>
      </c>
      <c r="D80" s="125"/>
      <c r="E80" s="126">
        <v>1</v>
      </c>
      <c r="F80" s="109"/>
      <c r="G80" s="101"/>
      <c r="H80" s="137"/>
      <c r="I80" s="113"/>
      <c r="J80" s="111"/>
    </row>
    <row r="81" spans="1:10" ht="22.5" x14ac:dyDescent="0.2">
      <c r="A81" s="96">
        <v>13</v>
      </c>
      <c r="B81" s="120" t="s">
        <v>123</v>
      </c>
      <c r="C81" s="107" t="s">
        <v>124</v>
      </c>
      <c r="D81" s="99" t="s">
        <v>63</v>
      </c>
      <c r="E81" s="109">
        <f>SUM(E82:E88)</f>
        <v>63.45</v>
      </c>
      <c r="F81" s="109">
        <v>686</v>
      </c>
      <c r="G81" s="101">
        <f t="shared" si="5"/>
        <v>43526.700000000004</v>
      </c>
      <c r="H81" s="137"/>
      <c r="I81" s="113"/>
      <c r="J81" s="111"/>
    </row>
    <row r="82" spans="1:10" x14ac:dyDescent="0.2">
      <c r="A82" s="96"/>
      <c r="B82" s="120"/>
      <c r="C82" s="124" t="s">
        <v>441</v>
      </c>
      <c r="D82" s="125"/>
      <c r="E82" s="126">
        <f>2.2*2.7</f>
        <v>5.9400000000000013</v>
      </c>
      <c r="F82" s="109"/>
      <c r="G82" s="101"/>
      <c r="H82" s="137"/>
      <c r="I82" s="113"/>
      <c r="J82" s="111"/>
    </row>
    <row r="83" spans="1:10" x14ac:dyDescent="0.2">
      <c r="A83" s="96"/>
      <c r="B83" s="120"/>
      <c r="C83" s="124" t="s">
        <v>442</v>
      </c>
      <c r="D83" s="125"/>
      <c r="E83" s="126">
        <f>2*2.7+3.4*2.7</f>
        <v>14.58</v>
      </c>
      <c r="F83" s="109"/>
      <c r="G83" s="101"/>
      <c r="H83" s="115"/>
      <c r="I83" s="113"/>
      <c r="J83" s="111"/>
    </row>
    <row r="84" spans="1:10" x14ac:dyDescent="0.2">
      <c r="A84" s="96"/>
      <c r="B84" s="120"/>
      <c r="C84" s="124" t="s">
        <v>443</v>
      </c>
      <c r="D84" s="125"/>
      <c r="E84" s="126">
        <f>2.2*2.7*2</f>
        <v>11.880000000000003</v>
      </c>
      <c r="F84" s="109"/>
      <c r="G84" s="101"/>
      <c r="H84" s="115"/>
      <c r="I84" s="113"/>
      <c r="J84" s="111"/>
    </row>
    <row r="85" spans="1:10" x14ac:dyDescent="0.2">
      <c r="A85" s="96"/>
      <c r="B85" s="120"/>
      <c r="C85" s="124" t="s">
        <v>444</v>
      </c>
      <c r="D85" s="125"/>
      <c r="E85" s="126">
        <f>2.2*2.7</f>
        <v>5.9400000000000013</v>
      </c>
      <c r="F85" s="109"/>
      <c r="G85" s="101"/>
      <c r="H85" s="115"/>
      <c r="I85" s="113"/>
      <c r="J85" s="111"/>
    </row>
    <row r="86" spans="1:10" x14ac:dyDescent="0.2">
      <c r="A86" s="96"/>
      <c r="B86" s="120"/>
      <c r="C86" s="124" t="s">
        <v>445</v>
      </c>
      <c r="D86" s="125"/>
      <c r="E86" s="126">
        <f>2.2*2.7</f>
        <v>5.9400000000000013</v>
      </c>
      <c r="F86" s="109"/>
      <c r="G86" s="101"/>
      <c r="H86" s="115"/>
      <c r="I86" s="113"/>
      <c r="J86" s="111"/>
    </row>
    <row r="87" spans="1:10" x14ac:dyDescent="0.2">
      <c r="A87" s="96"/>
      <c r="B87" s="120"/>
      <c r="C87" s="124" t="s">
        <v>446</v>
      </c>
      <c r="D87" s="125"/>
      <c r="E87" s="126">
        <f>1.9*2.7+2.6*2.7</f>
        <v>12.15</v>
      </c>
      <c r="F87" s="109"/>
      <c r="G87" s="101"/>
      <c r="H87" s="115"/>
      <c r="I87" s="113"/>
      <c r="J87" s="111"/>
    </row>
    <row r="88" spans="1:10" x14ac:dyDescent="0.2">
      <c r="A88" s="96"/>
      <c r="B88" s="120"/>
      <c r="C88" s="124" t="s">
        <v>447</v>
      </c>
      <c r="D88" s="125"/>
      <c r="E88" s="126">
        <f>2.6*2.7</f>
        <v>7.0200000000000005</v>
      </c>
      <c r="F88" s="109"/>
      <c r="G88" s="101"/>
      <c r="H88" s="115"/>
      <c r="I88" s="113"/>
      <c r="J88" s="111"/>
    </row>
    <row r="89" spans="1:10" ht="22.5" x14ac:dyDescent="0.2">
      <c r="A89" s="96">
        <v>14</v>
      </c>
      <c r="B89" s="120" t="s">
        <v>353</v>
      </c>
      <c r="C89" s="107" t="s">
        <v>281</v>
      </c>
      <c r="D89" s="99" t="s">
        <v>63</v>
      </c>
      <c r="E89" s="109">
        <f>SUM(E90:E93)</f>
        <v>53.07</v>
      </c>
      <c r="F89" s="109">
        <v>1658</v>
      </c>
      <c r="G89" s="101">
        <f t="shared" si="5"/>
        <v>87990.06</v>
      </c>
      <c r="H89" s="137"/>
      <c r="I89" s="113"/>
      <c r="J89" s="111"/>
    </row>
    <row r="90" spans="1:10" x14ac:dyDescent="0.2">
      <c r="A90" s="96"/>
      <c r="B90" s="120"/>
      <c r="C90" s="124" t="s">
        <v>448</v>
      </c>
      <c r="D90" s="125"/>
      <c r="E90" s="126">
        <f>2.2*2.9+3.6*2.9</f>
        <v>16.82</v>
      </c>
      <c r="F90" s="109"/>
      <c r="G90" s="101"/>
      <c r="H90" s="115"/>
      <c r="I90" s="113"/>
      <c r="J90" s="111"/>
    </row>
    <row r="91" spans="1:10" x14ac:dyDescent="0.2">
      <c r="A91" s="96"/>
      <c r="B91" s="120"/>
      <c r="C91" s="124" t="s">
        <v>449</v>
      </c>
      <c r="D91" s="125"/>
      <c r="E91" s="126">
        <f>2.4*2.9*2</f>
        <v>13.92</v>
      </c>
      <c r="F91" s="109"/>
      <c r="G91" s="101"/>
      <c r="H91" s="115"/>
      <c r="I91" s="113"/>
      <c r="J91" s="111"/>
    </row>
    <row r="92" spans="1:10" x14ac:dyDescent="0.2">
      <c r="A92" s="96"/>
      <c r="B92" s="120"/>
      <c r="C92" s="124" t="s">
        <v>450</v>
      </c>
      <c r="D92" s="125"/>
      <c r="E92" s="126">
        <f>2.1*2.9+2.8*2.9</f>
        <v>14.209999999999999</v>
      </c>
      <c r="F92" s="109"/>
      <c r="G92" s="101"/>
      <c r="H92" s="115"/>
      <c r="I92" s="113"/>
      <c r="J92" s="111"/>
    </row>
    <row r="93" spans="1:10" x14ac:dyDescent="0.2">
      <c r="A93" s="96"/>
      <c r="B93" s="120"/>
      <c r="C93" s="124" t="s">
        <v>451</v>
      </c>
      <c r="D93" s="125"/>
      <c r="E93" s="126">
        <f>2.8*2.9</f>
        <v>8.1199999999999992</v>
      </c>
      <c r="F93" s="109"/>
      <c r="G93" s="101"/>
      <c r="H93" s="115"/>
      <c r="I93" s="113"/>
      <c r="J93" s="111"/>
    </row>
    <row r="94" spans="1:10" x14ac:dyDescent="0.2">
      <c r="A94" s="102"/>
      <c r="B94" s="121" t="s">
        <v>81</v>
      </c>
      <c r="C94" s="104" t="str">
        <f>CONCATENATE(B64," ",C64)</f>
        <v>64 Výplně otvorů</v>
      </c>
      <c r="D94" s="102"/>
      <c r="E94" s="118"/>
      <c r="F94" s="105"/>
      <c r="G94" s="106">
        <f>SUM(G64:G93)</f>
        <v>565916.76</v>
      </c>
      <c r="I94" s="114"/>
      <c r="J94" s="111"/>
    </row>
    <row r="95" spans="1:10" x14ac:dyDescent="0.2">
      <c r="A95" s="90" t="s">
        <v>58</v>
      </c>
      <c r="B95" s="119" t="s">
        <v>129</v>
      </c>
      <c r="C95" s="92" t="s">
        <v>130</v>
      </c>
      <c r="D95" s="93"/>
      <c r="E95" s="117"/>
      <c r="F95" s="94"/>
      <c r="G95" s="95"/>
      <c r="I95" s="112"/>
      <c r="J95" s="111"/>
    </row>
    <row r="96" spans="1:10" ht="12.75" customHeight="1" x14ac:dyDescent="0.2">
      <c r="A96" s="96">
        <v>15</v>
      </c>
      <c r="B96" s="120" t="s">
        <v>131</v>
      </c>
      <c r="C96" s="98" t="s">
        <v>132</v>
      </c>
      <c r="D96" s="99" t="s">
        <v>63</v>
      </c>
      <c r="E96" s="109">
        <f>SUM(E97:E103)</f>
        <v>302.24</v>
      </c>
      <c r="F96" s="100">
        <v>400</v>
      </c>
      <c r="G96" s="101">
        <f t="shared" ref="G96:G106" si="6">E96*F96</f>
        <v>120896</v>
      </c>
      <c r="I96" s="113"/>
      <c r="J96" s="111"/>
    </row>
    <row r="97" spans="1:10" ht="12.75" customHeight="1" x14ac:dyDescent="0.2">
      <c r="A97" s="96"/>
      <c r="B97" s="120"/>
      <c r="C97" s="124" t="s">
        <v>402</v>
      </c>
      <c r="D97" s="125"/>
      <c r="E97" s="126">
        <f>6.8*3.7</f>
        <v>25.16</v>
      </c>
      <c r="F97" s="100"/>
      <c r="G97" s="101"/>
      <c r="I97" s="113"/>
      <c r="J97" s="111"/>
    </row>
    <row r="98" spans="1:10" ht="12.75" customHeight="1" x14ac:dyDescent="0.2">
      <c r="A98" s="96"/>
      <c r="B98" s="120"/>
      <c r="C98" s="124" t="s">
        <v>452</v>
      </c>
      <c r="D98" s="125"/>
      <c r="E98" s="126">
        <f>6.7*10.4</f>
        <v>69.680000000000007</v>
      </c>
      <c r="F98" s="100"/>
      <c r="G98" s="101"/>
      <c r="I98" s="113"/>
      <c r="J98" s="111"/>
    </row>
    <row r="99" spans="1:10" ht="12.75" customHeight="1" x14ac:dyDescent="0.2">
      <c r="A99" s="96"/>
      <c r="B99" s="120"/>
      <c r="C99" s="124" t="s">
        <v>453</v>
      </c>
      <c r="D99" s="125"/>
      <c r="E99" s="126">
        <f>6.8*7.6</f>
        <v>51.68</v>
      </c>
      <c r="F99" s="100"/>
      <c r="G99" s="101"/>
      <c r="I99" s="113"/>
      <c r="J99" s="111"/>
    </row>
    <row r="100" spans="1:10" ht="12.75" customHeight="1" x14ac:dyDescent="0.2">
      <c r="A100" s="96"/>
      <c r="B100" s="120"/>
      <c r="C100" s="124" t="s">
        <v>398</v>
      </c>
      <c r="D100" s="125"/>
      <c r="E100" s="126">
        <f>6.8*3.7</f>
        <v>25.16</v>
      </c>
      <c r="F100" s="100"/>
      <c r="G100" s="101"/>
      <c r="I100" s="113"/>
      <c r="J100" s="111"/>
    </row>
    <row r="101" spans="1:10" ht="12.75" customHeight="1" x14ac:dyDescent="0.2">
      <c r="A101" s="96"/>
      <c r="B101" s="120"/>
      <c r="C101" s="124" t="s">
        <v>399</v>
      </c>
      <c r="D101" s="125"/>
      <c r="E101" s="126">
        <f>6.8*3.7</f>
        <v>25.16</v>
      </c>
      <c r="F101" s="100"/>
      <c r="G101" s="101"/>
      <c r="I101" s="113"/>
      <c r="J101" s="111"/>
    </row>
    <row r="102" spans="1:10" ht="12.75" customHeight="1" x14ac:dyDescent="0.2">
      <c r="A102" s="96"/>
      <c r="B102" s="120"/>
      <c r="C102" s="124" t="s">
        <v>400</v>
      </c>
      <c r="D102" s="125"/>
      <c r="E102" s="126">
        <f>6.8*8.5</f>
        <v>57.8</v>
      </c>
      <c r="F102" s="100"/>
      <c r="G102" s="101"/>
      <c r="I102" s="113"/>
      <c r="J102" s="111"/>
    </row>
    <row r="103" spans="1:10" ht="12.75" customHeight="1" x14ac:dyDescent="0.2">
      <c r="A103" s="96"/>
      <c r="B103" s="120"/>
      <c r="C103" s="124" t="s">
        <v>401</v>
      </c>
      <c r="D103" s="125"/>
      <c r="E103" s="126">
        <f>5.6*8.5</f>
        <v>47.599999999999994</v>
      </c>
      <c r="F103" s="100"/>
      <c r="G103" s="101"/>
      <c r="I103" s="113"/>
      <c r="J103" s="111"/>
    </row>
    <row r="104" spans="1:10" ht="60" customHeight="1" x14ac:dyDescent="0.2">
      <c r="A104" s="96">
        <v>16</v>
      </c>
      <c r="B104" s="120" t="s">
        <v>133</v>
      </c>
      <c r="C104" s="98" t="s">
        <v>134</v>
      </c>
      <c r="D104" s="99" t="s">
        <v>135</v>
      </c>
      <c r="E104" s="109">
        <v>1</v>
      </c>
      <c r="F104" s="100">
        <v>127400</v>
      </c>
      <c r="G104" s="101">
        <f t="shared" ref="G104:G105" si="7">E104*F104</f>
        <v>127400</v>
      </c>
      <c r="I104" s="113"/>
      <c r="J104" s="111"/>
    </row>
    <row r="105" spans="1:10" ht="24.95" customHeight="1" x14ac:dyDescent="0.2">
      <c r="A105" s="96">
        <v>17</v>
      </c>
      <c r="B105" s="120" t="s">
        <v>136</v>
      </c>
      <c r="C105" s="98" t="s">
        <v>137</v>
      </c>
      <c r="D105" s="99" t="s">
        <v>135</v>
      </c>
      <c r="E105" s="109">
        <v>1</v>
      </c>
      <c r="F105" s="100">
        <v>159589.54</v>
      </c>
      <c r="G105" s="101">
        <f t="shared" si="7"/>
        <v>159589.54</v>
      </c>
      <c r="I105" s="113"/>
      <c r="J105" s="111"/>
    </row>
    <row r="106" spans="1:10" x14ac:dyDescent="0.2">
      <c r="A106" s="96">
        <v>18</v>
      </c>
      <c r="B106" s="120" t="s">
        <v>138</v>
      </c>
      <c r="C106" s="98" t="s">
        <v>139</v>
      </c>
      <c r="D106" s="99" t="s">
        <v>63</v>
      </c>
      <c r="E106" s="109">
        <f>E96</f>
        <v>302.24</v>
      </c>
      <c r="F106" s="100">
        <v>74</v>
      </c>
      <c r="G106" s="101">
        <f t="shared" si="6"/>
        <v>22365.760000000002</v>
      </c>
      <c r="I106" s="113"/>
      <c r="J106" s="111"/>
    </row>
    <row r="107" spans="1:10" x14ac:dyDescent="0.2">
      <c r="A107" s="102"/>
      <c r="B107" s="121" t="s">
        <v>81</v>
      </c>
      <c r="C107" s="104" t="str">
        <f>CONCATENATE(B95," ",C95)</f>
        <v>9 Ostatní konstrukce a práce</v>
      </c>
      <c r="D107" s="102"/>
      <c r="E107" s="118"/>
      <c r="F107" s="105"/>
      <c r="G107" s="106">
        <f>SUM(G95:G106)</f>
        <v>430251.30000000005</v>
      </c>
      <c r="I107" s="114"/>
      <c r="J107" s="111"/>
    </row>
    <row r="108" spans="1:10" x14ac:dyDescent="0.2">
      <c r="A108" s="90" t="s">
        <v>58</v>
      </c>
      <c r="B108" s="119" t="s">
        <v>140</v>
      </c>
      <c r="C108" s="92" t="s">
        <v>141</v>
      </c>
      <c r="D108" s="93"/>
      <c r="E108" s="117"/>
      <c r="F108" s="94"/>
      <c r="G108" s="95"/>
      <c r="I108" s="112"/>
      <c r="J108" s="111"/>
    </row>
    <row r="109" spans="1:10" x14ac:dyDescent="0.2">
      <c r="A109" s="96">
        <v>19</v>
      </c>
      <c r="B109" s="120" t="s">
        <v>142</v>
      </c>
      <c r="C109" s="98" t="s">
        <v>143</v>
      </c>
      <c r="D109" s="99" t="s">
        <v>63</v>
      </c>
      <c r="E109" s="109">
        <v>500</v>
      </c>
      <c r="F109" s="100">
        <v>50</v>
      </c>
      <c r="G109" s="101">
        <f>E109*F109</f>
        <v>25000</v>
      </c>
      <c r="I109" s="113"/>
      <c r="J109" s="111"/>
    </row>
    <row r="110" spans="1:10" x14ac:dyDescent="0.2">
      <c r="A110" s="102"/>
      <c r="B110" s="121" t="s">
        <v>81</v>
      </c>
      <c r="C110" s="104" t="str">
        <f>CONCATENATE(B108," ",C108)</f>
        <v>94 Lešení a stavební výtahy</v>
      </c>
      <c r="D110" s="102"/>
      <c r="E110" s="118"/>
      <c r="F110" s="105"/>
      <c r="G110" s="106">
        <f>SUM(G108:G109)</f>
        <v>25000</v>
      </c>
      <c r="I110" s="114"/>
      <c r="J110" s="111"/>
    </row>
    <row r="111" spans="1:10" x14ac:dyDescent="0.2">
      <c r="A111" s="90" t="s">
        <v>58</v>
      </c>
      <c r="B111" s="119" t="s">
        <v>144</v>
      </c>
      <c r="C111" s="92" t="s">
        <v>145</v>
      </c>
      <c r="D111" s="93"/>
      <c r="E111" s="117"/>
      <c r="F111" s="94"/>
      <c r="G111" s="95"/>
      <c r="I111" s="112"/>
      <c r="J111" s="111"/>
    </row>
    <row r="112" spans="1:10" x14ac:dyDescent="0.2">
      <c r="A112" s="96">
        <v>20</v>
      </c>
      <c r="B112" s="120" t="s">
        <v>146</v>
      </c>
      <c r="C112" s="98" t="s">
        <v>147</v>
      </c>
      <c r="D112" s="99" t="s">
        <v>63</v>
      </c>
      <c r="E112" s="109">
        <f>SUM(E113:E119)</f>
        <v>42.65</v>
      </c>
      <c r="F112" s="100">
        <v>75</v>
      </c>
      <c r="G112" s="101">
        <f t="shared" ref="G112" si="8">E112*F112</f>
        <v>3198.75</v>
      </c>
      <c r="H112" s="136"/>
      <c r="I112" s="113"/>
      <c r="J112" s="111"/>
    </row>
    <row r="113" spans="1:10" x14ac:dyDescent="0.2">
      <c r="A113" s="96"/>
      <c r="B113" s="120"/>
      <c r="C113" s="124" t="s">
        <v>419</v>
      </c>
      <c r="D113" s="125"/>
      <c r="E113" s="126">
        <f>1.9*1.3</f>
        <v>2.4699999999999998</v>
      </c>
      <c r="F113" s="100"/>
      <c r="G113" s="101"/>
      <c r="I113" s="113"/>
      <c r="J113" s="111"/>
    </row>
    <row r="114" spans="1:10" x14ac:dyDescent="0.2">
      <c r="A114" s="96"/>
      <c r="B114" s="120"/>
      <c r="C114" s="124" t="s">
        <v>420</v>
      </c>
      <c r="D114" s="125"/>
      <c r="E114" s="126">
        <f>1.7*1.3+3.1*1.3+2*2</f>
        <v>10.24</v>
      </c>
      <c r="F114" s="100"/>
      <c r="G114" s="101"/>
      <c r="I114" s="113"/>
      <c r="J114" s="111"/>
    </row>
    <row r="115" spans="1:10" x14ac:dyDescent="0.2">
      <c r="A115" s="96"/>
      <c r="B115" s="120"/>
      <c r="C115" s="124" t="s">
        <v>421</v>
      </c>
      <c r="D115" s="125"/>
      <c r="E115" s="126">
        <f>1.9*1.3*2+2*2</f>
        <v>8.94</v>
      </c>
      <c r="F115" s="100"/>
      <c r="G115" s="101"/>
      <c r="I115" s="113"/>
      <c r="J115" s="111"/>
    </row>
    <row r="116" spans="1:10" x14ac:dyDescent="0.2">
      <c r="A116" s="96"/>
      <c r="B116" s="120"/>
      <c r="C116" s="124" t="s">
        <v>422</v>
      </c>
      <c r="D116" s="125"/>
      <c r="E116" s="126">
        <f>1.9*1.3</f>
        <v>2.4699999999999998</v>
      </c>
      <c r="F116" s="100"/>
      <c r="G116" s="101"/>
      <c r="I116" s="113"/>
      <c r="J116" s="111"/>
    </row>
    <row r="117" spans="1:10" x14ac:dyDescent="0.2">
      <c r="A117" s="96"/>
      <c r="B117" s="120"/>
      <c r="C117" s="124" t="s">
        <v>423</v>
      </c>
      <c r="D117" s="125"/>
      <c r="E117" s="126">
        <f>1.9*1.3</f>
        <v>2.4699999999999998</v>
      </c>
      <c r="F117" s="100"/>
      <c r="G117" s="101"/>
      <c r="I117" s="113"/>
      <c r="J117" s="111"/>
    </row>
    <row r="118" spans="1:10" x14ac:dyDescent="0.2">
      <c r="A118" s="96"/>
      <c r="B118" s="120"/>
      <c r="C118" s="124" t="s">
        <v>424</v>
      </c>
      <c r="D118" s="125"/>
      <c r="E118" s="126">
        <f>1.6*1.3+2.3*1.3+2*2</f>
        <v>9.07</v>
      </c>
      <c r="F118" s="100"/>
      <c r="G118" s="101"/>
      <c r="I118" s="113"/>
      <c r="J118" s="111"/>
    </row>
    <row r="119" spans="1:10" x14ac:dyDescent="0.2">
      <c r="A119" s="96"/>
      <c r="B119" s="120"/>
      <c r="C119" s="124" t="s">
        <v>425</v>
      </c>
      <c r="D119" s="125"/>
      <c r="E119" s="126">
        <f>2.3*1.3+2*2</f>
        <v>6.99</v>
      </c>
      <c r="F119" s="100"/>
      <c r="G119" s="101"/>
      <c r="I119" s="113"/>
      <c r="J119" s="111"/>
    </row>
    <row r="120" spans="1:10" x14ac:dyDescent="0.2">
      <c r="A120" s="96">
        <v>21</v>
      </c>
      <c r="B120" s="120" t="s">
        <v>148</v>
      </c>
      <c r="C120" s="98" t="s">
        <v>149</v>
      </c>
      <c r="D120" s="99" t="s">
        <v>63</v>
      </c>
      <c r="E120" s="109">
        <f>SUM(E121:E127)</f>
        <v>42.65</v>
      </c>
      <c r="F120" s="100">
        <v>84</v>
      </c>
      <c r="G120" s="101">
        <f t="shared" ref="G120" si="9">E120*F120</f>
        <v>3582.6</v>
      </c>
      <c r="H120" s="136"/>
      <c r="I120" s="113"/>
      <c r="J120" s="111"/>
    </row>
    <row r="121" spans="1:10" x14ac:dyDescent="0.2">
      <c r="A121" s="96"/>
      <c r="B121" s="120"/>
      <c r="C121" s="124" t="s">
        <v>419</v>
      </c>
      <c r="D121" s="125"/>
      <c r="E121" s="126">
        <f>1.9*1.3</f>
        <v>2.4699999999999998</v>
      </c>
      <c r="F121" s="100"/>
      <c r="G121" s="101"/>
      <c r="I121" s="113"/>
      <c r="J121" s="111"/>
    </row>
    <row r="122" spans="1:10" x14ac:dyDescent="0.2">
      <c r="A122" s="96"/>
      <c r="B122" s="120"/>
      <c r="C122" s="124" t="s">
        <v>420</v>
      </c>
      <c r="D122" s="125"/>
      <c r="E122" s="126">
        <f>1.7*1.3+3.1*1.3+2*2</f>
        <v>10.24</v>
      </c>
      <c r="F122" s="100"/>
      <c r="G122" s="101"/>
      <c r="I122" s="113"/>
      <c r="J122" s="111"/>
    </row>
    <row r="123" spans="1:10" x14ac:dyDescent="0.2">
      <c r="A123" s="96"/>
      <c r="B123" s="120"/>
      <c r="C123" s="124" t="s">
        <v>421</v>
      </c>
      <c r="D123" s="125"/>
      <c r="E123" s="126">
        <f>1.9*1.3*2+2*2</f>
        <v>8.94</v>
      </c>
      <c r="F123" s="100"/>
      <c r="G123" s="101"/>
      <c r="I123" s="113"/>
      <c r="J123" s="111"/>
    </row>
    <row r="124" spans="1:10" x14ac:dyDescent="0.2">
      <c r="A124" s="96"/>
      <c r="B124" s="120"/>
      <c r="C124" s="124" t="s">
        <v>422</v>
      </c>
      <c r="D124" s="125"/>
      <c r="E124" s="126">
        <f>1.9*1.3</f>
        <v>2.4699999999999998</v>
      </c>
      <c r="F124" s="100"/>
      <c r="G124" s="101"/>
      <c r="I124" s="113"/>
      <c r="J124" s="111"/>
    </row>
    <row r="125" spans="1:10" x14ac:dyDescent="0.2">
      <c r="A125" s="96"/>
      <c r="B125" s="120"/>
      <c r="C125" s="124" t="s">
        <v>423</v>
      </c>
      <c r="D125" s="125"/>
      <c r="E125" s="126">
        <f>1.9*1.3</f>
        <v>2.4699999999999998</v>
      </c>
      <c r="F125" s="100"/>
      <c r="G125" s="101"/>
      <c r="I125" s="113"/>
      <c r="J125" s="111"/>
    </row>
    <row r="126" spans="1:10" x14ac:dyDescent="0.2">
      <c r="A126" s="96"/>
      <c r="B126" s="120"/>
      <c r="C126" s="124" t="s">
        <v>424</v>
      </c>
      <c r="D126" s="125"/>
      <c r="E126" s="126">
        <f>1.6*1.3+2.3*1.3+2*2</f>
        <v>9.07</v>
      </c>
      <c r="F126" s="100"/>
      <c r="G126" s="101"/>
      <c r="I126" s="113"/>
      <c r="J126" s="111"/>
    </row>
    <row r="127" spans="1:10" x14ac:dyDescent="0.2">
      <c r="A127" s="96"/>
      <c r="B127" s="120"/>
      <c r="C127" s="124" t="s">
        <v>425</v>
      </c>
      <c r="D127" s="125"/>
      <c r="E127" s="126">
        <f>2.3*1.3+2*2</f>
        <v>6.99</v>
      </c>
      <c r="F127" s="100"/>
      <c r="G127" s="101"/>
      <c r="I127" s="113"/>
      <c r="J127" s="111"/>
    </row>
    <row r="128" spans="1:10" x14ac:dyDescent="0.2">
      <c r="A128" s="96">
        <v>22</v>
      </c>
      <c r="B128" s="120" t="s">
        <v>150</v>
      </c>
      <c r="C128" s="107" t="s">
        <v>151</v>
      </c>
      <c r="D128" s="99" t="s">
        <v>152</v>
      </c>
      <c r="E128" s="109">
        <v>28.9</v>
      </c>
      <c r="F128" s="100">
        <v>383</v>
      </c>
      <c r="G128" s="101">
        <f t="shared" ref="G128:G132" si="10">E128*F128</f>
        <v>11068.699999999999</v>
      </c>
      <c r="H128" s="116"/>
      <c r="I128" s="113"/>
      <c r="J128" s="111"/>
    </row>
    <row r="129" spans="1:14" x14ac:dyDescent="0.2">
      <c r="A129" s="96">
        <v>23</v>
      </c>
      <c r="B129" s="120" t="s">
        <v>153</v>
      </c>
      <c r="C129" s="107" t="s">
        <v>154</v>
      </c>
      <c r="D129" s="99" t="s">
        <v>152</v>
      </c>
      <c r="E129" s="109">
        <f>28.9*4</f>
        <v>115.6</v>
      </c>
      <c r="F129" s="100">
        <v>42</v>
      </c>
      <c r="G129" s="101">
        <f t="shared" si="10"/>
        <v>4855.2</v>
      </c>
      <c r="H129" s="116"/>
      <c r="I129" s="113"/>
      <c r="J129" s="111"/>
    </row>
    <row r="130" spans="1:14" x14ac:dyDescent="0.2">
      <c r="A130" s="96">
        <v>24</v>
      </c>
      <c r="B130" s="120" t="s">
        <v>155</v>
      </c>
      <c r="C130" s="107" t="s">
        <v>156</v>
      </c>
      <c r="D130" s="99" t="s">
        <v>152</v>
      </c>
      <c r="E130" s="109">
        <v>28.9</v>
      </c>
      <c r="F130" s="100">
        <v>365</v>
      </c>
      <c r="G130" s="101">
        <f t="shared" si="10"/>
        <v>10548.5</v>
      </c>
      <c r="H130" s="116"/>
      <c r="I130" s="113"/>
      <c r="J130" s="111"/>
    </row>
    <row r="131" spans="1:14" x14ac:dyDescent="0.2">
      <c r="A131" s="96">
        <v>25</v>
      </c>
      <c r="B131" s="120" t="s">
        <v>157</v>
      </c>
      <c r="C131" s="107" t="s">
        <v>158</v>
      </c>
      <c r="D131" s="99" t="s">
        <v>152</v>
      </c>
      <c r="E131" s="109">
        <f>28.9*19</f>
        <v>549.1</v>
      </c>
      <c r="F131" s="100">
        <v>14</v>
      </c>
      <c r="G131" s="101">
        <f t="shared" si="10"/>
        <v>7687.4000000000005</v>
      </c>
      <c r="H131" s="116"/>
      <c r="I131" s="113"/>
      <c r="J131" s="111"/>
    </row>
    <row r="132" spans="1:14" x14ac:dyDescent="0.2">
      <c r="A132" s="96">
        <v>26</v>
      </c>
      <c r="B132" s="120" t="s">
        <v>159</v>
      </c>
      <c r="C132" s="107" t="s">
        <v>160</v>
      </c>
      <c r="D132" s="99" t="s">
        <v>152</v>
      </c>
      <c r="E132" s="109">
        <v>28.9</v>
      </c>
      <c r="F132" s="100">
        <v>350</v>
      </c>
      <c r="G132" s="101">
        <f t="shared" si="10"/>
        <v>10115</v>
      </c>
      <c r="H132" s="116"/>
      <c r="I132" s="113"/>
      <c r="J132" s="111"/>
    </row>
    <row r="133" spans="1:14" x14ac:dyDescent="0.2">
      <c r="A133" s="102"/>
      <c r="B133" s="121" t="s">
        <v>81</v>
      </c>
      <c r="C133" s="104" t="str">
        <f>CONCATENATE(B111," ",C111)</f>
        <v>96 Bourání konstrukcí</v>
      </c>
      <c r="D133" s="102"/>
      <c r="E133" s="118"/>
      <c r="F133" s="105"/>
      <c r="G133" s="106">
        <f>SUM(G111:G132)</f>
        <v>51056.15</v>
      </c>
      <c r="H133" s="116"/>
      <c r="I133" s="114"/>
      <c r="J133" s="111"/>
    </row>
    <row r="134" spans="1:14" x14ac:dyDescent="0.2">
      <c r="A134" s="90" t="s">
        <v>58</v>
      </c>
      <c r="B134" s="119" t="s">
        <v>161</v>
      </c>
      <c r="C134" s="92" t="s">
        <v>162</v>
      </c>
      <c r="D134" s="93"/>
      <c r="E134" s="117"/>
      <c r="F134" s="94"/>
      <c r="G134" s="95"/>
      <c r="I134" s="112"/>
      <c r="J134" s="111"/>
    </row>
    <row r="135" spans="1:14" x14ac:dyDescent="0.2">
      <c r="A135" s="96">
        <v>27</v>
      </c>
      <c r="B135" s="120" t="s">
        <v>163</v>
      </c>
      <c r="C135" s="107" t="s">
        <v>164</v>
      </c>
      <c r="D135" s="99" t="s">
        <v>152</v>
      </c>
      <c r="E135" s="109">
        <v>84.6</v>
      </c>
      <c r="F135" s="100">
        <v>880</v>
      </c>
      <c r="G135" s="101">
        <f>E135*F135</f>
        <v>74448</v>
      </c>
      <c r="H135" s="116"/>
      <c r="I135" s="113"/>
      <c r="J135" s="111"/>
    </row>
    <row r="136" spans="1:14" x14ac:dyDescent="0.2">
      <c r="A136" s="102"/>
      <c r="B136" s="121" t="s">
        <v>81</v>
      </c>
      <c r="C136" s="104" t="str">
        <f>CONCATENATE(B134," ",C134)</f>
        <v>99 Staveništní přesun hmot</v>
      </c>
      <c r="D136" s="102"/>
      <c r="E136" s="118"/>
      <c r="F136" s="105"/>
      <c r="G136" s="106">
        <f>SUM(G134:G135)</f>
        <v>74448</v>
      </c>
      <c r="I136" s="114"/>
      <c r="J136" s="111"/>
    </row>
    <row r="137" spans="1:14" x14ac:dyDescent="0.2">
      <c r="A137" s="90" t="s">
        <v>58</v>
      </c>
      <c r="B137" s="119" t="s">
        <v>165</v>
      </c>
      <c r="C137" s="92" t="s">
        <v>166</v>
      </c>
      <c r="D137" s="93"/>
      <c r="E137" s="117"/>
      <c r="F137" s="94"/>
      <c r="G137" s="95"/>
      <c r="I137" s="112"/>
      <c r="J137" s="111"/>
      <c r="K137" s="111"/>
      <c r="L137" s="111"/>
      <c r="N137" s="111"/>
    </row>
    <row r="138" spans="1:14" x14ac:dyDescent="0.2">
      <c r="A138" s="96">
        <v>28</v>
      </c>
      <c r="B138" s="120" t="s">
        <v>167</v>
      </c>
      <c r="C138" s="107" t="s">
        <v>168</v>
      </c>
      <c r="D138" s="99" t="s">
        <v>76</v>
      </c>
      <c r="E138" s="109">
        <v>3</v>
      </c>
      <c r="F138" s="109">
        <v>446</v>
      </c>
      <c r="G138" s="101">
        <f t="shared" ref="G138:G142" si="11">E138*F138</f>
        <v>1338</v>
      </c>
      <c r="H138" s="136"/>
      <c r="I138" s="113"/>
      <c r="J138" s="111"/>
      <c r="K138" s="111"/>
      <c r="L138" s="111"/>
      <c r="M138" s="111"/>
      <c r="N138" s="111"/>
    </row>
    <row r="139" spans="1:14" x14ac:dyDescent="0.2">
      <c r="A139" s="96">
        <v>29</v>
      </c>
      <c r="B139" s="120" t="s">
        <v>169</v>
      </c>
      <c r="C139" s="107" t="s">
        <v>170</v>
      </c>
      <c r="D139" s="99" t="s">
        <v>76</v>
      </c>
      <c r="E139" s="109">
        <v>3</v>
      </c>
      <c r="F139" s="109">
        <v>191</v>
      </c>
      <c r="G139" s="101">
        <f t="shared" si="11"/>
        <v>573</v>
      </c>
      <c r="H139" s="136"/>
      <c r="I139" s="113"/>
      <c r="J139" s="111"/>
      <c r="K139" s="111"/>
      <c r="L139" s="111"/>
      <c r="M139" s="111"/>
      <c r="N139" s="111"/>
    </row>
    <row r="140" spans="1:14" ht="33.75" x14ac:dyDescent="0.2">
      <c r="A140" s="96">
        <v>30</v>
      </c>
      <c r="B140" s="120" t="s">
        <v>171</v>
      </c>
      <c r="C140" s="107" t="s">
        <v>364</v>
      </c>
      <c r="D140" s="99" t="s">
        <v>135</v>
      </c>
      <c r="E140" s="109">
        <v>1</v>
      </c>
      <c r="F140" s="109">
        <v>1275</v>
      </c>
      <c r="G140" s="101">
        <f t="shared" si="11"/>
        <v>1275</v>
      </c>
      <c r="H140" s="136"/>
      <c r="I140" s="113"/>
      <c r="J140" s="111"/>
      <c r="K140" s="111"/>
      <c r="L140" s="111"/>
      <c r="M140" s="111"/>
      <c r="N140" s="111"/>
    </row>
    <row r="141" spans="1:14" ht="22.5" x14ac:dyDescent="0.2">
      <c r="A141" s="96">
        <v>31</v>
      </c>
      <c r="B141" s="120" t="s">
        <v>173</v>
      </c>
      <c r="C141" s="107" t="s">
        <v>454</v>
      </c>
      <c r="D141" s="99" t="s">
        <v>76</v>
      </c>
      <c r="E141" s="109">
        <v>4</v>
      </c>
      <c r="F141" s="109">
        <v>4394</v>
      </c>
      <c r="G141" s="101">
        <f t="shared" si="11"/>
        <v>17576</v>
      </c>
      <c r="H141" s="136"/>
      <c r="I141" s="113"/>
      <c r="J141" s="111"/>
      <c r="K141" s="111"/>
      <c r="L141" s="111"/>
      <c r="M141" s="111"/>
      <c r="N141" s="111"/>
    </row>
    <row r="142" spans="1:14" x14ac:dyDescent="0.2">
      <c r="A142" s="96">
        <v>32</v>
      </c>
      <c r="B142" s="120" t="s">
        <v>366</v>
      </c>
      <c r="C142" s="98" t="s">
        <v>174</v>
      </c>
      <c r="D142" s="99" t="s">
        <v>175</v>
      </c>
      <c r="E142" s="109">
        <v>10.5</v>
      </c>
      <c r="F142" s="109">
        <v>500</v>
      </c>
      <c r="G142" s="101">
        <f t="shared" si="11"/>
        <v>5250</v>
      </c>
      <c r="H142" s="137"/>
      <c r="I142" s="113"/>
      <c r="J142" s="111"/>
    </row>
    <row r="143" spans="1:14" x14ac:dyDescent="0.2">
      <c r="A143" s="102"/>
      <c r="B143" s="121" t="s">
        <v>81</v>
      </c>
      <c r="C143" s="104" t="str">
        <f>CONCATENATE(B137," ",C137)</f>
        <v>720 Zdravotechnická instalace</v>
      </c>
      <c r="D143" s="102"/>
      <c r="E143" s="118"/>
      <c r="F143" s="105"/>
      <c r="G143" s="106">
        <f>SUM(G137:G142)</f>
        <v>26012</v>
      </c>
      <c r="I143" s="114"/>
      <c r="J143" s="111"/>
    </row>
    <row r="144" spans="1:14" x14ac:dyDescent="0.2">
      <c r="A144" s="90" t="s">
        <v>58</v>
      </c>
      <c r="B144" s="119" t="s">
        <v>176</v>
      </c>
      <c r="C144" s="92" t="s">
        <v>177</v>
      </c>
      <c r="D144" s="93"/>
      <c r="E144" s="117"/>
      <c r="F144" s="94"/>
      <c r="G144" s="95"/>
      <c r="I144" s="112"/>
      <c r="J144" s="111"/>
      <c r="K144" s="111"/>
      <c r="L144" s="111"/>
      <c r="M144" s="111"/>
      <c r="N144" s="111"/>
    </row>
    <row r="145" spans="1:16" x14ac:dyDescent="0.2">
      <c r="A145" s="96">
        <v>33</v>
      </c>
      <c r="B145" s="120" t="s">
        <v>178</v>
      </c>
      <c r="C145" s="107" t="s">
        <v>179</v>
      </c>
      <c r="D145" s="99" t="s">
        <v>76</v>
      </c>
      <c r="E145" s="109">
        <v>10</v>
      </c>
      <c r="F145" s="109">
        <v>488</v>
      </c>
      <c r="G145" s="101">
        <f t="shared" ref="G145:G156" si="12">E145*F145</f>
        <v>4880</v>
      </c>
      <c r="H145" s="136"/>
      <c r="I145" s="113"/>
      <c r="J145" s="113"/>
    </row>
    <row r="146" spans="1:16" ht="22.5" x14ac:dyDescent="0.2">
      <c r="A146" s="96">
        <v>34</v>
      </c>
      <c r="B146" s="120" t="s">
        <v>180</v>
      </c>
      <c r="C146" s="107" t="s">
        <v>181</v>
      </c>
      <c r="D146" s="99" t="s">
        <v>135</v>
      </c>
      <c r="E146" s="109">
        <v>10</v>
      </c>
      <c r="F146" s="109">
        <v>825</v>
      </c>
      <c r="G146" s="101">
        <f t="shared" si="12"/>
        <v>8250</v>
      </c>
      <c r="H146" s="136"/>
      <c r="I146" s="113"/>
      <c r="J146" s="111"/>
    </row>
    <row r="147" spans="1:16" ht="56.25" x14ac:dyDescent="0.2">
      <c r="A147" s="96">
        <v>35</v>
      </c>
      <c r="B147" s="120" t="s">
        <v>182</v>
      </c>
      <c r="C147" s="107" t="s">
        <v>455</v>
      </c>
      <c r="D147" s="99" t="s">
        <v>76</v>
      </c>
      <c r="E147" s="109">
        <v>1</v>
      </c>
      <c r="F147" s="109">
        <v>6240</v>
      </c>
      <c r="G147" s="101">
        <f t="shared" si="12"/>
        <v>6240</v>
      </c>
      <c r="H147" s="136"/>
      <c r="I147" s="113"/>
      <c r="J147" s="111"/>
    </row>
    <row r="148" spans="1:16" ht="56.25" x14ac:dyDescent="0.2">
      <c r="A148" s="96">
        <v>36</v>
      </c>
      <c r="B148" s="120" t="s">
        <v>184</v>
      </c>
      <c r="C148" s="107" t="s">
        <v>456</v>
      </c>
      <c r="D148" s="99" t="s">
        <v>76</v>
      </c>
      <c r="E148" s="109">
        <v>1</v>
      </c>
      <c r="F148" s="109">
        <v>7866</v>
      </c>
      <c r="G148" s="101">
        <f t="shared" si="12"/>
        <v>7866</v>
      </c>
      <c r="H148" s="136"/>
      <c r="I148" s="113"/>
      <c r="J148" s="111"/>
    </row>
    <row r="149" spans="1:16" ht="56.25" x14ac:dyDescent="0.2">
      <c r="A149" s="96">
        <v>37</v>
      </c>
      <c r="B149" s="120" t="s">
        <v>186</v>
      </c>
      <c r="C149" s="107" t="s">
        <v>457</v>
      </c>
      <c r="D149" s="99" t="s">
        <v>76</v>
      </c>
      <c r="E149" s="109">
        <v>1</v>
      </c>
      <c r="F149" s="109">
        <v>6240</v>
      </c>
      <c r="G149" s="101">
        <f t="shared" si="12"/>
        <v>6240</v>
      </c>
      <c r="H149" s="136"/>
      <c r="I149" s="113"/>
      <c r="J149" s="111"/>
    </row>
    <row r="150" spans="1:16" ht="56.25" x14ac:dyDescent="0.2">
      <c r="A150" s="96">
        <v>38</v>
      </c>
      <c r="B150" s="120" t="s">
        <v>188</v>
      </c>
      <c r="C150" s="107" t="s">
        <v>458</v>
      </c>
      <c r="D150" s="99" t="s">
        <v>76</v>
      </c>
      <c r="E150" s="109">
        <v>1</v>
      </c>
      <c r="F150" s="109">
        <v>6240</v>
      </c>
      <c r="G150" s="101">
        <f t="shared" si="12"/>
        <v>6240</v>
      </c>
      <c r="H150" s="136"/>
      <c r="I150" s="113"/>
      <c r="J150" s="111"/>
    </row>
    <row r="151" spans="1:16" ht="56.25" x14ac:dyDescent="0.2">
      <c r="A151" s="96">
        <v>39</v>
      </c>
      <c r="B151" s="120" t="s">
        <v>190</v>
      </c>
      <c r="C151" s="107" t="s">
        <v>459</v>
      </c>
      <c r="D151" s="99" t="s">
        <v>76</v>
      </c>
      <c r="E151" s="109">
        <v>2</v>
      </c>
      <c r="F151" s="109">
        <v>6873</v>
      </c>
      <c r="G151" s="101">
        <f t="shared" si="12"/>
        <v>13746</v>
      </c>
      <c r="H151" s="136"/>
      <c r="I151" s="113"/>
      <c r="J151" s="111"/>
    </row>
    <row r="152" spans="1:16" ht="56.25" x14ac:dyDescent="0.2">
      <c r="A152" s="96">
        <v>40</v>
      </c>
      <c r="B152" s="120" t="s">
        <v>192</v>
      </c>
      <c r="C152" s="107" t="s">
        <v>460</v>
      </c>
      <c r="D152" s="99" t="s">
        <v>76</v>
      </c>
      <c r="E152" s="109">
        <v>2</v>
      </c>
      <c r="F152" s="109">
        <v>6451</v>
      </c>
      <c r="G152" s="101">
        <f t="shared" si="12"/>
        <v>12902</v>
      </c>
      <c r="H152" s="136"/>
      <c r="I152" s="113"/>
      <c r="J152" s="111"/>
    </row>
    <row r="153" spans="1:16" ht="56.25" x14ac:dyDescent="0.2">
      <c r="A153" s="96">
        <v>41</v>
      </c>
      <c r="B153" s="120" t="s">
        <v>194</v>
      </c>
      <c r="C153" s="107" t="s">
        <v>461</v>
      </c>
      <c r="D153" s="99" t="s">
        <v>76</v>
      </c>
      <c r="E153" s="109">
        <v>2</v>
      </c>
      <c r="F153" s="109">
        <v>7866</v>
      </c>
      <c r="G153" s="101">
        <f t="shared" si="12"/>
        <v>15732</v>
      </c>
      <c r="H153" s="136"/>
      <c r="I153" s="113"/>
      <c r="J153" s="111"/>
    </row>
    <row r="154" spans="1:16" ht="22.5" x14ac:dyDescent="0.2">
      <c r="A154" s="96">
        <v>42</v>
      </c>
      <c r="B154" s="120" t="s">
        <v>372</v>
      </c>
      <c r="C154" s="107" t="s">
        <v>191</v>
      </c>
      <c r="D154" s="99" t="s">
        <v>135</v>
      </c>
      <c r="E154" s="109">
        <v>10</v>
      </c>
      <c r="F154" s="109">
        <v>4735</v>
      </c>
      <c r="G154" s="101">
        <f t="shared" si="12"/>
        <v>47350</v>
      </c>
      <c r="H154" s="138"/>
      <c r="I154" s="113"/>
      <c r="J154" s="111"/>
    </row>
    <row r="155" spans="1:16" x14ac:dyDescent="0.2">
      <c r="A155" s="96">
        <v>43</v>
      </c>
      <c r="B155" s="120" t="s">
        <v>462</v>
      </c>
      <c r="C155" s="107" t="s">
        <v>193</v>
      </c>
      <c r="D155" s="99" t="s">
        <v>135</v>
      </c>
      <c r="E155" s="109">
        <v>1</v>
      </c>
      <c r="F155" s="109">
        <v>2050</v>
      </c>
      <c r="G155" s="101">
        <f t="shared" si="12"/>
        <v>2050</v>
      </c>
      <c r="H155" s="136"/>
      <c r="I155" s="114"/>
      <c r="J155" s="111"/>
    </row>
    <row r="156" spans="1:16" x14ac:dyDescent="0.2">
      <c r="A156" s="96">
        <v>44</v>
      </c>
      <c r="B156" s="120" t="s">
        <v>463</v>
      </c>
      <c r="C156" s="98" t="s">
        <v>195</v>
      </c>
      <c r="D156" s="99" t="s">
        <v>175</v>
      </c>
      <c r="E156" s="109">
        <v>14</v>
      </c>
      <c r="F156" s="109">
        <v>500</v>
      </c>
      <c r="G156" s="101">
        <f t="shared" si="12"/>
        <v>7000</v>
      </c>
      <c r="H156" s="138"/>
      <c r="I156" s="113"/>
      <c r="J156" s="111"/>
    </row>
    <row r="157" spans="1:16" x14ac:dyDescent="0.2">
      <c r="A157" s="102"/>
      <c r="B157" s="121" t="s">
        <v>81</v>
      </c>
      <c r="C157" s="104" t="str">
        <f>CONCATENATE(B144," ",C144)</f>
        <v>730 Ústřední vytápění</v>
      </c>
      <c r="D157" s="102"/>
      <c r="E157" s="118"/>
      <c r="F157" s="105"/>
      <c r="G157" s="106">
        <f>SUM(G144:G156)</f>
        <v>138496</v>
      </c>
      <c r="H157" s="136"/>
      <c r="I157" s="114"/>
      <c r="J157" s="111"/>
    </row>
    <row r="158" spans="1:16" x14ac:dyDescent="0.2">
      <c r="A158" s="90" t="s">
        <v>58</v>
      </c>
      <c r="B158" s="119" t="s">
        <v>196</v>
      </c>
      <c r="C158" s="92" t="s">
        <v>197</v>
      </c>
      <c r="D158" s="93"/>
      <c r="E158" s="117"/>
      <c r="F158" s="94"/>
      <c r="G158" s="95"/>
      <c r="H158" s="136"/>
      <c r="I158" s="114"/>
      <c r="J158" s="111"/>
      <c r="P158" s="136"/>
    </row>
    <row r="159" spans="1:16" x14ac:dyDescent="0.2">
      <c r="A159" s="96">
        <v>45</v>
      </c>
      <c r="B159" s="120" t="s">
        <v>198</v>
      </c>
      <c r="C159" s="158" t="s">
        <v>199</v>
      </c>
      <c r="D159" s="99" t="s">
        <v>135</v>
      </c>
      <c r="E159" s="109">
        <v>1</v>
      </c>
      <c r="F159" s="109">
        <v>762500</v>
      </c>
      <c r="G159" s="101">
        <f>E159*F159</f>
        <v>762500</v>
      </c>
      <c r="H159" s="147"/>
      <c r="I159" s="113"/>
      <c r="J159" s="111"/>
    </row>
    <row r="160" spans="1:16" x14ac:dyDescent="0.2">
      <c r="A160" s="102"/>
      <c r="B160" s="121" t="s">
        <v>81</v>
      </c>
      <c r="C160" s="104" t="str">
        <f>CONCATENATE(B158," ",C158)</f>
        <v>766 Nábytek</v>
      </c>
      <c r="D160" s="102"/>
      <c r="E160" s="118"/>
      <c r="F160" s="105"/>
      <c r="G160" s="106">
        <f>SUM(G158:G159)</f>
        <v>762500</v>
      </c>
      <c r="I160" s="114"/>
      <c r="J160" s="111"/>
    </row>
    <row r="161" spans="1:10" x14ac:dyDescent="0.2">
      <c r="A161" s="90" t="s">
        <v>58</v>
      </c>
      <c r="B161" s="119" t="s">
        <v>196</v>
      </c>
      <c r="C161" s="92" t="s">
        <v>200</v>
      </c>
      <c r="D161" s="93"/>
      <c r="E161" s="117"/>
      <c r="F161" s="94"/>
      <c r="G161" s="95"/>
      <c r="I161" s="112"/>
      <c r="J161" s="111"/>
    </row>
    <row r="162" spans="1:10" ht="22.5" x14ac:dyDescent="0.2">
      <c r="A162" s="96">
        <v>46</v>
      </c>
      <c r="B162" s="120" t="s">
        <v>198</v>
      </c>
      <c r="C162" s="107" t="s">
        <v>464</v>
      </c>
      <c r="D162" s="99" t="s">
        <v>63</v>
      </c>
      <c r="E162" s="109">
        <f>5*2</f>
        <v>10</v>
      </c>
      <c r="F162" s="100">
        <v>250</v>
      </c>
      <c r="G162" s="101">
        <f t="shared" ref="G162" si="13">E162*F162</f>
        <v>2500</v>
      </c>
      <c r="I162" s="112"/>
      <c r="J162" s="111"/>
    </row>
    <row r="163" spans="1:10" ht="33.75" x14ac:dyDescent="0.2">
      <c r="A163" s="96">
        <v>47</v>
      </c>
      <c r="B163" s="120" t="s">
        <v>202</v>
      </c>
      <c r="C163" s="107" t="s">
        <v>201</v>
      </c>
      <c r="D163" s="99" t="s">
        <v>63</v>
      </c>
      <c r="E163" s="109">
        <f>SUM(E164:E170)</f>
        <v>302.24</v>
      </c>
      <c r="F163" s="100">
        <v>800</v>
      </c>
      <c r="G163" s="101">
        <f t="shared" ref="G163" si="14">E163*F163</f>
        <v>241792</v>
      </c>
      <c r="H163" s="116"/>
      <c r="I163" s="113"/>
      <c r="J163" s="111"/>
    </row>
    <row r="164" spans="1:10" x14ac:dyDescent="0.2">
      <c r="A164" s="96"/>
      <c r="B164" s="120"/>
      <c r="C164" s="124" t="s">
        <v>402</v>
      </c>
      <c r="D164" s="125"/>
      <c r="E164" s="126">
        <f>6.8*3.7</f>
        <v>25.16</v>
      </c>
      <c r="F164" s="100"/>
      <c r="G164" s="101"/>
      <c r="H164" s="116"/>
      <c r="I164" s="113"/>
      <c r="J164" s="111"/>
    </row>
    <row r="165" spans="1:10" x14ac:dyDescent="0.2">
      <c r="A165" s="96"/>
      <c r="B165" s="120"/>
      <c r="C165" s="124" t="s">
        <v>452</v>
      </c>
      <c r="D165" s="125"/>
      <c r="E165" s="126">
        <f>6.7*10.4</f>
        <v>69.680000000000007</v>
      </c>
      <c r="F165" s="100"/>
      <c r="G165" s="101"/>
      <c r="H165" s="116"/>
      <c r="I165" s="113"/>
      <c r="J165" s="111"/>
    </row>
    <row r="166" spans="1:10" x14ac:dyDescent="0.2">
      <c r="A166" s="96"/>
      <c r="B166" s="120"/>
      <c r="C166" s="124" t="s">
        <v>453</v>
      </c>
      <c r="D166" s="125"/>
      <c r="E166" s="126">
        <f>6.8*7.6</f>
        <v>51.68</v>
      </c>
      <c r="F166" s="100"/>
      <c r="G166" s="101"/>
      <c r="H166" s="116"/>
      <c r="I166" s="113"/>
      <c r="J166" s="111"/>
    </row>
    <row r="167" spans="1:10" x14ac:dyDescent="0.2">
      <c r="A167" s="96"/>
      <c r="B167" s="120"/>
      <c r="C167" s="124" t="s">
        <v>398</v>
      </c>
      <c r="D167" s="125"/>
      <c r="E167" s="126">
        <f>6.8*3.7</f>
        <v>25.16</v>
      </c>
      <c r="F167" s="100"/>
      <c r="G167" s="101"/>
      <c r="H167" s="116"/>
      <c r="I167" s="113"/>
      <c r="J167" s="111"/>
    </row>
    <row r="168" spans="1:10" x14ac:dyDescent="0.2">
      <c r="A168" s="96"/>
      <c r="B168" s="120"/>
      <c r="C168" s="124" t="s">
        <v>399</v>
      </c>
      <c r="D168" s="125"/>
      <c r="E168" s="126">
        <f>6.8*3.7</f>
        <v>25.16</v>
      </c>
      <c r="F168" s="100"/>
      <c r="G168" s="101"/>
      <c r="H168" s="116"/>
      <c r="I168" s="113"/>
      <c r="J168" s="111"/>
    </row>
    <row r="169" spans="1:10" x14ac:dyDescent="0.2">
      <c r="A169" s="96"/>
      <c r="B169" s="120"/>
      <c r="C169" s="124" t="s">
        <v>400</v>
      </c>
      <c r="D169" s="125"/>
      <c r="E169" s="126">
        <f>6.8*8.5</f>
        <v>57.8</v>
      </c>
      <c r="F169" s="100"/>
      <c r="G169" s="101"/>
      <c r="H169" s="116"/>
      <c r="I169" s="113"/>
      <c r="J169" s="111"/>
    </row>
    <row r="170" spans="1:10" x14ac:dyDescent="0.2">
      <c r="A170" s="96"/>
      <c r="B170" s="120"/>
      <c r="C170" s="124" t="s">
        <v>401</v>
      </c>
      <c r="D170" s="125"/>
      <c r="E170" s="126">
        <f>5.6*8.5</f>
        <v>47.599999999999994</v>
      </c>
      <c r="F170" s="100"/>
      <c r="G170" s="101"/>
      <c r="H170" s="116"/>
      <c r="I170" s="113"/>
      <c r="J170" s="111"/>
    </row>
    <row r="171" spans="1:10" ht="22.5" x14ac:dyDescent="0.2">
      <c r="A171" s="96">
        <v>48</v>
      </c>
      <c r="B171" s="120" t="s">
        <v>465</v>
      </c>
      <c r="C171" s="107" t="s">
        <v>203</v>
      </c>
      <c r="D171" s="99" t="s">
        <v>86</v>
      </c>
      <c r="E171" s="109">
        <f>SUM(E172:E178)</f>
        <v>184.79999999999998</v>
      </c>
      <c r="F171" s="100">
        <v>99</v>
      </c>
      <c r="G171" s="101">
        <f t="shared" ref="G171" si="15">E171*F171</f>
        <v>18295.199999999997</v>
      </c>
      <c r="H171" s="138"/>
      <c r="I171" s="113"/>
      <c r="J171" s="111"/>
    </row>
    <row r="172" spans="1:10" x14ac:dyDescent="0.2">
      <c r="A172" s="96"/>
      <c r="B172" s="120"/>
      <c r="C172" s="124" t="s">
        <v>466</v>
      </c>
      <c r="D172" s="125"/>
      <c r="E172" s="126">
        <f>(6.8+3.7)*2</f>
        <v>21</v>
      </c>
      <c r="F172" s="100"/>
      <c r="G172" s="101"/>
      <c r="H172" s="116"/>
      <c r="I172" s="113"/>
      <c r="J172" s="111"/>
    </row>
    <row r="173" spans="1:10" x14ac:dyDescent="0.2">
      <c r="A173" s="96"/>
      <c r="B173" s="120"/>
      <c r="C173" s="124" t="s">
        <v>467</v>
      </c>
      <c r="D173" s="125"/>
      <c r="E173" s="126">
        <f>(6.7+10.4)*2</f>
        <v>34.200000000000003</v>
      </c>
      <c r="F173" s="100"/>
      <c r="G173" s="101"/>
      <c r="H173" s="116"/>
      <c r="I173" s="113"/>
      <c r="J173" s="111"/>
    </row>
    <row r="174" spans="1:10" x14ac:dyDescent="0.2">
      <c r="A174" s="96"/>
      <c r="B174" s="120"/>
      <c r="C174" s="124" t="s">
        <v>468</v>
      </c>
      <c r="D174" s="125"/>
      <c r="E174" s="126">
        <f>(6.8+7.6)*2</f>
        <v>28.799999999999997</v>
      </c>
      <c r="F174" s="100"/>
      <c r="G174" s="101"/>
      <c r="H174" s="116"/>
      <c r="I174" s="113"/>
      <c r="J174" s="111"/>
    </row>
    <row r="175" spans="1:10" x14ac:dyDescent="0.2">
      <c r="A175" s="96"/>
      <c r="B175" s="120"/>
      <c r="C175" s="124" t="s">
        <v>469</v>
      </c>
      <c r="D175" s="125"/>
      <c r="E175" s="126">
        <f>(6.8+3.7)*2</f>
        <v>21</v>
      </c>
      <c r="F175" s="100"/>
      <c r="G175" s="101"/>
      <c r="H175" s="116"/>
      <c r="I175" s="113"/>
      <c r="J175" s="111"/>
    </row>
    <row r="176" spans="1:10" x14ac:dyDescent="0.2">
      <c r="A176" s="96"/>
      <c r="B176" s="120"/>
      <c r="C176" s="124" t="s">
        <v>470</v>
      </c>
      <c r="D176" s="125"/>
      <c r="E176" s="126">
        <f>(6.8+3.7)*2</f>
        <v>21</v>
      </c>
      <c r="F176" s="100"/>
      <c r="G176" s="101"/>
      <c r="H176" s="116"/>
      <c r="I176" s="113"/>
      <c r="J176" s="111"/>
    </row>
    <row r="177" spans="1:10" x14ac:dyDescent="0.2">
      <c r="A177" s="96"/>
      <c r="B177" s="120"/>
      <c r="C177" s="124" t="s">
        <v>471</v>
      </c>
      <c r="D177" s="125"/>
      <c r="E177" s="126">
        <f>(6.8+8.5)*2</f>
        <v>30.6</v>
      </c>
      <c r="F177" s="100"/>
      <c r="G177" s="101"/>
      <c r="H177" s="116"/>
      <c r="I177" s="113"/>
      <c r="J177" s="111"/>
    </row>
    <row r="178" spans="1:10" x14ac:dyDescent="0.2">
      <c r="A178" s="96"/>
      <c r="B178" s="120"/>
      <c r="C178" s="124" t="s">
        <v>472</v>
      </c>
      <c r="D178" s="125"/>
      <c r="E178" s="126">
        <f>(5.6+8.5)*2</f>
        <v>28.2</v>
      </c>
      <c r="F178" s="100"/>
      <c r="G178" s="101"/>
      <c r="H178" s="116"/>
      <c r="I178" s="113"/>
      <c r="J178" s="111"/>
    </row>
    <row r="179" spans="1:10" x14ac:dyDescent="0.2">
      <c r="A179" s="102"/>
      <c r="B179" s="121" t="s">
        <v>81</v>
      </c>
      <c r="C179" s="104" t="str">
        <f>CONCATENATE(B161," ",C161)</f>
        <v>766 Konstrukce truhlářské</v>
      </c>
      <c r="D179" s="102"/>
      <c r="E179" s="118"/>
      <c r="F179" s="105"/>
      <c r="G179" s="106">
        <f>SUM(G161:G178)</f>
        <v>262587.2</v>
      </c>
      <c r="I179" s="114"/>
      <c r="J179" s="111"/>
    </row>
    <row r="180" spans="1:10" x14ac:dyDescent="0.2">
      <c r="A180" s="90" t="s">
        <v>58</v>
      </c>
      <c r="B180" s="119" t="s">
        <v>208</v>
      </c>
      <c r="C180" s="92" t="s">
        <v>209</v>
      </c>
      <c r="D180" s="93"/>
      <c r="E180" s="117"/>
      <c r="F180" s="94"/>
      <c r="G180" s="95"/>
      <c r="I180" s="112"/>
      <c r="J180" s="111"/>
    </row>
    <row r="181" spans="1:10" x14ac:dyDescent="0.2">
      <c r="A181" s="96">
        <v>49</v>
      </c>
      <c r="B181" s="120" t="s">
        <v>210</v>
      </c>
      <c r="C181" s="98" t="s">
        <v>211</v>
      </c>
      <c r="D181" s="99" t="s">
        <v>63</v>
      </c>
      <c r="E181" s="109">
        <f>SUM(E182:E188)</f>
        <v>302.24</v>
      </c>
      <c r="F181" s="100">
        <v>54</v>
      </c>
      <c r="G181" s="101">
        <f>E181*F181</f>
        <v>16320.960000000001</v>
      </c>
      <c r="H181" s="116"/>
      <c r="I181" s="112"/>
      <c r="J181" s="111"/>
    </row>
    <row r="182" spans="1:10" x14ac:dyDescent="0.2">
      <c r="A182" s="96"/>
      <c r="B182" s="120"/>
      <c r="C182" s="124" t="s">
        <v>402</v>
      </c>
      <c r="D182" s="125"/>
      <c r="E182" s="126">
        <f>6.8*3.7</f>
        <v>25.16</v>
      </c>
      <c r="F182" s="100"/>
      <c r="G182" s="101"/>
      <c r="H182" s="116"/>
      <c r="I182" s="112"/>
      <c r="J182" s="111"/>
    </row>
    <row r="183" spans="1:10" x14ac:dyDescent="0.2">
      <c r="A183" s="96"/>
      <c r="B183" s="120"/>
      <c r="C183" s="124" t="s">
        <v>452</v>
      </c>
      <c r="D183" s="125"/>
      <c r="E183" s="126">
        <f>6.7*10.4</f>
        <v>69.680000000000007</v>
      </c>
      <c r="F183" s="100"/>
      <c r="G183" s="101"/>
      <c r="H183" s="116"/>
      <c r="I183" s="112"/>
      <c r="J183" s="111"/>
    </row>
    <row r="184" spans="1:10" x14ac:dyDescent="0.2">
      <c r="A184" s="96"/>
      <c r="B184" s="120"/>
      <c r="C184" s="124" t="s">
        <v>453</v>
      </c>
      <c r="D184" s="125"/>
      <c r="E184" s="126">
        <f>6.8*7.6</f>
        <v>51.68</v>
      </c>
      <c r="F184" s="100"/>
      <c r="G184" s="101"/>
      <c r="H184" s="116"/>
      <c r="I184" s="112"/>
      <c r="J184" s="111"/>
    </row>
    <row r="185" spans="1:10" x14ac:dyDescent="0.2">
      <c r="A185" s="96"/>
      <c r="B185" s="120"/>
      <c r="C185" s="124" t="s">
        <v>398</v>
      </c>
      <c r="D185" s="125"/>
      <c r="E185" s="126">
        <f>6.8*3.7</f>
        <v>25.16</v>
      </c>
      <c r="F185" s="100"/>
      <c r="G185" s="101"/>
      <c r="H185" s="116"/>
      <c r="I185" s="112"/>
      <c r="J185" s="111"/>
    </row>
    <row r="186" spans="1:10" x14ac:dyDescent="0.2">
      <c r="A186" s="96"/>
      <c r="B186" s="120"/>
      <c r="C186" s="124" t="s">
        <v>399</v>
      </c>
      <c r="D186" s="125"/>
      <c r="E186" s="126">
        <f>6.8*3.7</f>
        <v>25.16</v>
      </c>
      <c r="F186" s="100"/>
      <c r="G186" s="101"/>
      <c r="H186" s="116"/>
      <c r="I186" s="112"/>
      <c r="J186" s="111"/>
    </row>
    <row r="187" spans="1:10" x14ac:dyDescent="0.2">
      <c r="A187" s="96"/>
      <c r="B187" s="120"/>
      <c r="C187" s="124" t="s">
        <v>400</v>
      </c>
      <c r="D187" s="125"/>
      <c r="E187" s="126">
        <f>6.8*8.5</f>
        <v>57.8</v>
      </c>
      <c r="F187" s="100"/>
      <c r="G187" s="101"/>
      <c r="H187" s="116"/>
      <c r="I187" s="112"/>
      <c r="J187" s="111"/>
    </row>
    <row r="188" spans="1:10" x14ac:dyDescent="0.2">
      <c r="A188" s="96"/>
      <c r="B188" s="120"/>
      <c r="C188" s="124" t="s">
        <v>401</v>
      </c>
      <c r="D188" s="125"/>
      <c r="E188" s="126">
        <f>5.6*8.5</f>
        <v>47.599999999999994</v>
      </c>
      <c r="F188" s="100"/>
      <c r="G188" s="101"/>
      <c r="H188" s="116"/>
      <c r="I188" s="112"/>
      <c r="J188" s="111"/>
    </row>
    <row r="189" spans="1:10" x14ac:dyDescent="0.2">
      <c r="A189" s="102"/>
      <c r="B189" s="121" t="s">
        <v>81</v>
      </c>
      <c r="C189" s="104" t="str">
        <f>CONCATENATE(B180," ",C180)</f>
        <v>776 Podlahy povlakové</v>
      </c>
      <c r="D189" s="102"/>
      <c r="E189" s="118"/>
      <c r="F189" s="105"/>
      <c r="G189" s="106">
        <f>SUM(G180:G188)</f>
        <v>16320.960000000001</v>
      </c>
      <c r="I189" s="114"/>
      <c r="J189" s="111"/>
    </row>
    <row r="190" spans="1:10" x14ac:dyDescent="0.2">
      <c r="A190" s="90" t="s">
        <v>58</v>
      </c>
      <c r="B190" s="119" t="s">
        <v>212</v>
      </c>
      <c r="C190" s="92" t="s">
        <v>378</v>
      </c>
      <c r="D190" s="93"/>
      <c r="E190" s="117"/>
      <c r="F190" s="94"/>
      <c r="G190" s="95"/>
      <c r="I190" s="114"/>
      <c r="J190" s="111"/>
    </row>
    <row r="191" spans="1:10" x14ac:dyDescent="0.2">
      <c r="A191" s="96">
        <v>50</v>
      </c>
      <c r="B191" s="120" t="s">
        <v>214</v>
      </c>
      <c r="C191" s="98" t="s">
        <v>379</v>
      </c>
      <c r="D191" s="99" t="s">
        <v>63</v>
      </c>
      <c r="E191" s="109">
        <f>SUM(E192:E195)</f>
        <v>16</v>
      </c>
      <c r="F191" s="100">
        <v>1110</v>
      </c>
      <c r="G191" s="101">
        <f>E191*F191</f>
        <v>17760</v>
      </c>
      <c r="H191" s="136"/>
      <c r="I191" s="114"/>
      <c r="J191" s="111"/>
    </row>
    <row r="192" spans="1:10" x14ac:dyDescent="0.2">
      <c r="A192" s="96"/>
      <c r="B192" s="120"/>
      <c r="C192" s="124" t="s">
        <v>473</v>
      </c>
      <c r="D192" s="125"/>
      <c r="E192" s="126">
        <f>2*2</f>
        <v>4</v>
      </c>
      <c r="F192" s="100"/>
      <c r="G192" s="101"/>
      <c r="I192" s="114"/>
      <c r="J192" s="111"/>
    </row>
    <row r="193" spans="1:10" x14ac:dyDescent="0.2">
      <c r="A193" s="96"/>
      <c r="B193" s="120"/>
      <c r="C193" s="124" t="s">
        <v>474</v>
      </c>
      <c r="D193" s="125"/>
      <c r="E193" s="126">
        <f>2*2</f>
        <v>4</v>
      </c>
      <c r="F193" s="100"/>
      <c r="G193" s="101"/>
      <c r="I193" s="114"/>
      <c r="J193" s="111"/>
    </row>
    <row r="194" spans="1:10" x14ac:dyDescent="0.2">
      <c r="A194" s="96"/>
      <c r="B194" s="120"/>
      <c r="C194" s="124" t="s">
        <v>475</v>
      </c>
      <c r="D194" s="125"/>
      <c r="E194" s="126">
        <f>2*2</f>
        <v>4</v>
      </c>
      <c r="F194" s="100"/>
      <c r="G194" s="101"/>
      <c r="I194" s="114"/>
      <c r="J194" s="111"/>
    </row>
    <row r="195" spans="1:10" x14ac:dyDescent="0.2">
      <c r="A195" s="96"/>
      <c r="B195" s="120"/>
      <c r="C195" s="124" t="s">
        <v>476</v>
      </c>
      <c r="D195" s="125"/>
      <c r="E195" s="126">
        <f>2*2</f>
        <v>4</v>
      </c>
      <c r="F195" s="100"/>
      <c r="G195" s="101"/>
      <c r="I195" s="114"/>
      <c r="J195" s="111"/>
    </row>
    <row r="196" spans="1:10" ht="22.5" x14ac:dyDescent="0.2">
      <c r="A196" s="96">
        <v>51</v>
      </c>
      <c r="B196" s="120" t="s">
        <v>217</v>
      </c>
      <c r="C196" s="98" t="s">
        <v>218</v>
      </c>
      <c r="D196" s="99" t="s">
        <v>63</v>
      </c>
      <c r="E196" s="109">
        <f>SUM(E197:E203)</f>
        <v>26.65</v>
      </c>
      <c r="F196" s="100">
        <v>2850</v>
      </c>
      <c r="G196" s="101">
        <f>E196*F196</f>
        <v>75952.5</v>
      </c>
      <c r="I196" s="114"/>
      <c r="J196" s="111"/>
    </row>
    <row r="197" spans="1:10" x14ac:dyDescent="0.2">
      <c r="A197" s="96"/>
      <c r="B197" s="120"/>
      <c r="C197" s="124" t="s">
        <v>419</v>
      </c>
      <c r="D197" s="125"/>
      <c r="E197" s="126">
        <f>1.9*1.3</f>
        <v>2.4699999999999998</v>
      </c>
      <c r="F197" s="100"/>
      <c r="G197" s="101"/>
      <c r="I197" s="114"/>
      <c r="J197" s="111"/>
    </row>
    <row r="198" spans="1:10" x14ac:dyDescent="0.2">
      <c r="A198" s="96"/>
      <c r="B198" s="120"/>
      <c r="C198" s="124" t="s">
        <v>477</v>
      </c>
      <c r="D198" s="125"/>
      <c r="E198" s="126">
        <f>1.7*1.3+3.1*1.3</f>
        <v>6.24</v>
      </c>
      <c r="F198" s="100"/>
      <c r="G198" s="101"/>
      <c r="I198" s="114"/>
      <c r="J198" s="111"/>
    </row>
    <row r="199" spans="1:10" x14ac:dyDescent="0.2">
      <c r="A199" s="96"/>
      <c r="B199" s="120"/>
      <c r="C199" s="124" t="s">
        <v>478</v>
      </c>
      <c r="D199" s="125"/>
      <c r="E199" s="126">
        <f>1.9*1.3*2</f>
        <v>4.9399999999999995</v>
      </c>
      <c r="F199" s="100"/>
      <c r="G199" s="101"/>
      <c r="I199" s="114"/>
      <c r="J199" s="111"/>
    </row>
    <row r="200" spans="1:10" x14ac:dyDescent="0.2">
      <c r="A200" s="96"/>
      <c r="B200" s="120"/>
      <c r="C200" s="124" t="s">
        <v>422</v>
      </c>
      <c r="D200" s="125"/>
      <c r="E200" s="126">
        <f>1.9*1.3</f>
        <v>2.4699999999999998</v>
      </c>
      <c r="F200" s="100"/>
      <c r="G200" s="101"/>
      <c r="I200" s="114"/>
      <c r="J200" s="111"/>
    </row>
    <row r="201" spans="1:10" x14ac:dyDescent="0.2">
      <c r="A201" s="96"/>
      <c r="B201" s="120"/>
      <c r="C201" s="124" t="s">
        <v>423</v>
      </c>
      <c r="D201" s="125"/>
      <c r="E201" s="126">
        <f>1.9*1.3</f>
        <v>2.4699999999999998</v>
      </c>
      <c r="F201" s="100"/>
      <c r="G201" s="101"/>
      <c r="I201" s="114"/>
      <c r="J201" s="111"/>
    </row>
    <row r="202" spans="1:10" x14ac:dyDescent="0.2">
      <c r="A202" s="96"/>
      <c r="B202" s="120"/>
      <c r="C202" s="124" t="s">
        <v>479</v>
      </c>
      <c r="D202" s="125"/>
      <c r="E202" s="126">
        <f>1.6*1.3+2.3*1.3</f>
        <v>5.07</v>
      </c>
      <c r="F202" s="100"/>
      <c r="G202" s="101"/>
      <c r="I202" s="114"/>
      <c r="J202" s="111"/>
    </row>
    <row r="203" spans="1:10" x14ac:dyDescent="0.2">
      <c r="A203" s="96"/>
      <c r="B203" s="120"/>
      <c r="C203" s="124" t="s">
        <v>480</v>
      </c>
      <c r="D203" s="125"/>
      <c r="E203" s="126">
        <f>2.3*1.3</f>
        <v>2.9899999999999998</v>
      </c>
      <c r="F203" s="100"/>
      <c r="G203" s="101"/>
      <c r="I203" s="114"/>
      <c r="J203" s="111"/>
    </row>
    <row r="204" spans="1:10" x14ac:dyDescent="0.2">
      <c r="A204" s="102"/>
      <c r="B204" s="121" t="s">
        <v>81</v>
      </c>
      <c r="C204" s="104" t="str">
        <f>CONCATENATE(B190," ",C190)</f>
        <v>781 Obklady keramické</v>
      </c>
      <c r="D204" s="102"/>
      <c r="E204" s="118"/>
      <c r="F204" s="105"/>
      <c r="G204" s="106">
        <f>SUM(G190:G203)</f>
        <v>93712.5</v>
      </c>
      <c r="I204" s="114"/>
      <c r="J204" s="111"/>
    </row>
    <row r="205" spans="1:10" x14ac:dyDescent="0.2">
      <c r="A205" s="90" t="s">
        <v>58</v>
      </c>
      <c r="B205" s="119" t="s">
        <v>223</v>
      </c>
      <c r="C205" s="92" t="s">
        <v>224</v>
      </c>
      <c r="D205" s="93"/>
      <c r="E205" s="117"/>
      <c r="F205" s="94"/>
      <c r="G205" s="95"/>
      <c r="I205" s="112"/>
      <c r="J205" s="111"/>
    </row>
    <row r="206" spans="1:10" ht="22.5" x14ac:dyDescent="0.2">
      <c r="A206" s="96">
        <v>52</v>
      </c>
      <c r="B206" s="120" t="s">
        <v>225</v>
      </c>
      <c r="C206" s="98" t="s">
        <v>226</v>
      </c>
      <c r="D206" s="99" t="s">
        <v>63</v>
      </c>
      <c r="E206" s="109">
        <f>SUM(E207:E213)</f>
        <v>302.24</v>
      </c>
      <c r="F206" s="100">
        <v>650</v>
      </c>
      <c r="G206" s="101">
        <f>E206*F206</f>
        <v>196456</v>
      </c>
      <c r="I206" s="113"/>
      <c r="J206" s="111"/>
    </row>
    <row r="207" spans="1:10" x14ac:dyDescent="0.2">
      <c r="A207" s="96"/>
      <c r="B207" s="120"/>
      <c r="C207" s="124" t="s">
        <v>402</v>
      </c>
      <c r="D207" s="125"/>
      <c r="E207" s="126">
        <f>6.8*3.7</f>
        <v>25.16</v>
      </c>
      <c r="F207" s="100"/>
      <c r="G207" s="101"/>
      <c r="I207" s="113"/>
      <c r="J207" s="111"/>
    </row>
    <row r="208" spans="1:10" x14ac:dyDescent="0.2">
      <c r="A208" s="96"/>
      <c r="B208" s="120"/>
      <c r="C208" s="124" t="s">
        <v>452</v>
      </c>
      <c r="D208" s="125"/>
      <c r="E208" s="126">
        <f>6.7*10.4</f>
        <v>69.680000000000007</v>
      </c>
      <c r="F208" s="100"/>
      <c r="G208" s="101"/>
      <c r="I208" s="113"/>
      <c r="J208" s="111"/>
    </row>
    <row r="209" spans="1:10" x14ac:dyDescent="0.2">
      <c r="A209" s="96"/>
      <c r="B209" s="120"/>
      <c r="C209" s="124" t="s">
        <v>453</v>
      </c>
      <c r="D209" s="125"/>
      <c r="E209" s="126">
        <f>6.8*7.6</f>
        <v>51.68</v>
      </c>
      <c r="F209" s="100"/>
      <c r="G209" s="101"/>
      <c r="I209" s="113"/>
      <c r="J209" s="111"/>
    </row>
    <row r="210" spans="1:10" x14ac:dyDescent="0.2">
      <c r="A210" s="96"/>
      <c r="B210" s="120"/>
      <c r="C210" s="124" t="s">
        <v>398</v>
      </c>
      <c r="D210" s="125"/>
      <c r="E210" s="126">
        <f>6.8*3.7</f>
        <v>25.16</v>
      </c>
      <c r="F210" s="100"/>
      <c r="G210" s="101"/>
      <c r="I210" s="113"/>
      <c r="J210" s="111"/>
    </row>
    <row r="211" spans="1:10" x14ac:dyDescent="0.2">
      <c r="A211" s="96"/>
      <c r="B211" s="120"/>
      <c r="C211" s="124" t="s">
        <v>399</v>
      </c>
      <c r="D211" s="125"/>
      <c r="E211" s="126">
        <f>6.8*3.7</f>
        <v>25.16</v>
      </c>
      <c r="F211" s="100"/>
      <c r="G211" s="101"/>
      <c r="I211" s="113"/>
      <c r="J211" s="111"/>
    </row>
    <row r="212" spans="1:10" x14ac:dyDescent="0.2">
      <c r="A212" s="96"/>
      <c r="B212" s="120"/>
      <c r="C212" s="124" t="s">
        <v>400</v>
      </c>
      <c r="D212" s="125"/>
      <c r="E212" s="126">
        <f>6.8*8.5</f>
        <v>57.8</v>
      </c>
      <c r="F212" s="100"/>
      <c r="G212" s="101"/>
      <c r="I212" s="113"/>
      <c r="J212" s="111"/>
    </row>
    <row r="213" spans="1:10" x14ac:dyDescent="0.2">
      <c r="A213" s="96"/>
      <c r="B213" s="120"/>
      <c r="C213" s="124" t="s">
        <v>401</v>
      </c>
      <c r="D213" s="125"/>
      <c r="E213" s="126">
        <f>5.6*8.5</f>
        <v>47.599999999999994</v>
      </c>
      <c r="F213" s="100"/>
      <c r="G213" s="101"/>
      <c r="I213" s="113"/>
      <c r="J213" s="111"/>
    </row>
    <row r="214" spans="1:10" x14ac:dyDescent="0.2">
      <c r="A214" s="96">
        <v>53</v>
      </c>
      <c r="B214" s="120" t="s">
        <v>227</v>
      </c>
      <c r="C214" s="98" t="s">
        <v>228</v>
      </c>
      <c r="D214" s="99" t="s">
        <v>229</v>
      </c>
      <c r="E214" s="109">
        <v>8</v>
      </c>
      <c r="F214" s="100">
        <v>800</v>
      </c>
      <c r="G214" s="101">
        <f>E214*F214</f>
        <v>6400</v>
      </c>
      <c r="I214" s="113"/>
      <c r="J214" s="111"/>
    </row>
    <row r="215" spans="1:10" x14ac:dyDescent="0.2">
      <c r="A215" s="96">
        <v>54</v>
      </c>
      <c r="B215" s="120" t="s">
        <v>299</v>
      </c>
      <c r="C215" s="107" t="s">
        <v>300</v>
      </c>
      <c r="D215" s="99" t="s">
        <v>229</v>
      </c>
      <c r="E215" s="109">
        <v>1</v>
      </c>
      <c r="F215" s="100">
        <v>1000</v>
      </c>
      <c r="G215" s="101">
        <f>E215*F215</f>
        <v>1000</v>
      </c>
      <c r="I215" s="113"/>
      <c r="J215" s="111"/>
    </row>
    <row r="216" spans="1:10" x14ac:dyDescent="0.2">
      <c r="A216" s="102"/>
      <c r="B216" s="121" t="s">
        <v>81</v>
      </c>
      <c r="C216" s="104" t="str">
        <f>CONCATENATE(B205," ",C205)</f>
        <v>783 Nátěry</v>
      </c>
      <c r="D216" s="102"/>
      <c r="E216" s="118"/>
      <c r="F216" s="105"/>
      <c r="G216" s="106">
        <f>SUM(G205:G215)</f>
        <v>203856</v>
      </c>
      <c r="I216" s="114"/>
      <c r="J216" s="111"/>
    </row>
    <row r="217" spans="1:10" x14ac:dyDescent="0.2">
      <c r="A217" s="90" t="s">
        <v>58</v>
      </c>
      <c r="B217" s="119" t="s">
        <v>230</v>
      </c>
      <c r="C217" s="92" t="s">
        <v>231</v>
      </c>
      <c r="D217" s="93"/>
      <c r="E217" s="117"/>
      <c r="F217" s="94"/>
      <c r="G217" s="95"/>
      <c r="I217" s="112"/>
      <c r="J217" s="111"/>
    </row>
    <row r="218" spans="1:10" x14ac:dyDescent="0.2">
      <c r="A218" s="96">
        <v>55</v>
      </c>
      <c r="B218" s="97" t="s">
        <v>232</v>
      </c>
      <c r="C218" s="98" t="s">
        <v>233</v>
      </c>
      <c r="D218" s="99" t="s">
        <v>63</v>
      </c>
      <c r="E218" s="109">
        <f>SUM(E219:E225)</f>
        <v>888.43999999999994</v>
      </c>
      <c r="F218" s="100">
        <v>40</v>
      </c>
      <c r="G218" s="101">
        <f>E218*F218</f>
        <v>35537.599999999999</v>
      </c>
      <c r="H218" s="116"/>
      <c r="I218" s="112"/>
      <c r="J218" s="111"/>
    </row>
    <row r="219" spans="1:10" x14ac:dyDescent="0.2">
      <c r="A219" s="96"/>
      <c r="B219" s="97"/>
      <c r="C219" s="124" t="s">
        <v>481</v>
      </c>
      <c r="D219" s="125"/>
      <c r="E219" s="126">
        <f>(6.8+3.7)*2*3.7+(1.9+2.4*2)*0.5</f>
        <v>81.05</v>
      </c>
      <c r="F219" s="100"/>
      <c r="G219" s="101"/>
      <c r="H219" s="116"/>
      <c r="I219" s="112"/>
      <c r="J219" s="111"/>
    </row>
    <row r="220" spans="1:10" x14ac:dyDescent="0.2">
      <c r="A220" s="96"/>
      <c r="B220" s="97"/>
      <c r="C220" s="124" t="s">
        <v>482</v>
      </c>
      <c r="D220" s="125"/>
      <c r="E220" s="126">
        <f>(6.7+10.4)*2*3.5+(1.7+2.4*2+3.1+2.4*2)*0.5</f>
        <v>126.90000000000002</v>
      </c>
      <c r="F220" s="100"/>
      <c r="G220" s="101"/>
      <c r="H220" s="116"/>
      <c r="I220" s="112"/>
      <c r="J220" s="111"/>
    </row>
    <row r="221" spans="1:10" x14ac:dyDescent="0.2">
      <c r="A221" s="96"/>
      <c r="B221" s="97"/>
      <c r="C221" s="124" t="s">
        <v>483</v>
      </c>
      <c r="D221" s="125"/>
      <c r="E221" s="126">
        <f>(6.8+7.6)*2*3.5+(1.9+2.4*2)*2*0.5</f>
        <v>107.49999999999999</v>
      </c>
      <c r="F221" s="100"/>
      <c r="G221" s="101"/>
      <c r="H221" s="116"/>
      <c r="I221" s="112"/>
      <c r="J221" s="111"/>
    </row>
    <row r="222" spans="1:10" x14ac:dyDescent="0.2">
      <c r="A222" s="96"/>
      <c r="B222" s="97"/>
      <c r="C222" s="124" t="s">
        <v>484</v>
      </c>
      <c r="D222" s="125"/>
      <c r="E222" s="126">
        <f>6.8*3.7+(6.8+3.7)*2*4+(1.9+2.4*2)*0.5</f>
        <v>112.50999999999999</v>
      </c>
      <c r="F222" s="100"/>
      <c r="G222" s="101"/>
      <c r="H222" s="116"/>
      <c r="I222" s="112"/>
      <c r="J222" s="111"/>
    </row>
    <row r="223" spans="1:10" x14ac:dyDescent="0.2">
      <c r="A223" s="96"/>
      <c r="B223" s="97"/>
      <c r="C223" s="124" t="s">
        <v>485</v>
      </c>
      <c r="D223" s="125"/>
      <c r="E223" s="126">
        <f>6.8*3.7+(6.8+3.7)*2*4+(1.9+2.4*2)*0.5</f>
        <v>112.50999999999999</v>
      </c>
      <c r="F223" s="100"/>
      <c r="G223" s="101"/>
      <c r="H223" s="116"/>
      <c r="I223" s="112"/>
      <c r="J223" s="111"/>
    </row>
    <row r="224" spans="1:10" ht="22.5" x14ac:dyDescent="0.2">
      <c r="A224" s="96"/>
      <c r="B224" s="97"/>
      <c r="C224" s="124" t="s">
        <v>486</v>
      </c>
      <c r="D224" s="125"/>
      <c r="E224" s="126">
        <f>6.8*8.5+(6.8+8.5)*2*3.9+(1.6+2.4*2+2.3+2.4*2+1.3+2.3*2)*0.5</f>
        <v>186.83999999999997</v>
      </c>
      <c r="F224" s="100"/>
      <c r="G224" s="101"/>
      <c r="H224" s="116"/>
      <c r="I224" s="112"/>
      <c r="J224" s="111"/>
    </row>
    <row r="225" spans="1:10" x14ac:dyDescent="0.2">
      <c r="A225" s="96"/>
      <c r="B225" s="97"/>
      <c r="C225" s="124" t="s">
        <v>487</v>
      </c>
      <c r="D225" s="125"/>
      <c r="E225" s="126">
        <f>5.6*8.5+(5.6+8.5)*2*3.9+(2.3+2.4*2)*0.5</f>
        <v>161.13</v>
      </c>
      <c r="F225" s="100"/>
      <c r="G225" s="101"/>
      <c r="H225" s="116"/>
      <c r="I225" s="112"/>
      <c r="J225" s="111"/>
    </row>
    <row r="226" spans="1:10" x14ac:dyDescent="0.2">
      <c r="A226" s="96">
        <v>56</v>
      </c>
      <c r="B226" s="120" t="s">
        <v>238</v>
      </c>
      <c r="C226" s="98" t="s">
        <v>239</v>
      </c>
      <c r="D226" s="99" t="s">
        <v>63</v>
      </c>
      <c r="E226" s="109">
        <f>SUM(E227:E233)</f>
        <v>913.6</v>
      </c>
      <c r="F226" s="100">
        <v>67</v>
      </c>
      <c r="G226" s="101">
        <f>E226*F226</f>
        <v>61211.200000000004</v>
      </c>
      <c r="H226" s="116"/>
      <c r="I226" s="113"/>
      <c r="J226" s="111"/>
    </row>
    <row r="227" spans="1:10" x14ac:dyDescent="0.2">
      <c r="A227" s="96"/>
      <c r="B227" s="120"/>
      <c r="C227" s="124" t="s">
        <v>488</v>
      </c>
      <c r="D227" s="125"/>
      <c r="E227" s="126">
        <f>6.8*3.7+(6.8+3.7)*2*3.7+(1.9+2.4*2)*0.5</f>
        <v>106.21</v>
      </c>
      <c r="F227" s="100"/>
      <c r="G227" s="101"/>
      <c r="H227" s="116"/>
      <c r="I227" s="113"/>
      <c r="J227" s="111"/>
    </row>
    <row r="228" spans="1:10" x14ac:dyDescent="0.2">
      <c r="A228" s="96"/>
      <c r="B228" s="120"/>
      <c r="C228" s="124" t="s">
        <v>482</v>
      </c>
      <c r="D228" s="125"/>
      <c r="E228" s="126">
        <f>(6.7+10.4)*2*3.5+(1.7+2.4*2+3.1+2.4*2)*0.5</f>
        <v>126.90000000000002</v>
      </c>
      <c r="F228" s="100"/>
      <c r="G228" s="101"/>
      <c r="H228" s="116"/>
      <c r="I228" s="113"/>
      <c r="J228" s="111"/>
    </row>
    <row r="229" spans="1:10" x14ac:dyDescent="0.2">
      <c r="A229" s="96"/>
      <c r="B229" s="120"/>
      <c r="C229" s="124" t="s">
        <v>483</v>
      </c>
      <c r="D229" s="125"/>
      <c r="E229" s="126">
        <f>(6.8+7.6)*2*3.5+(1.9+2.4*2)*2*0.5</f>
        <v>107.49999999999999</v>
      </c>
      <c r="F229" s="100"/>
      <c r="G229" s="101"/>
      <c r="H229" s="116"/>
      <c r="I229" s="113"/>
      <c r="J229" s="111"/>
    </row>
    <row r="230" spans="1:10" x14ac:dyDescent="0.2">
      <c r="A230" s="96"/>
      <c r="B230" s="120"/>
      <c r="C230" s="124" t="s">
        <v>484</v>
      </c>
      <c r="D230" s="125"/>
      <c r="E230" s="126">
        <f>6.8*3.7+(6.8+3.7)*2*4+(1.9+2.4*2)*0.5</f>
        <v>112.50999999999999</v>
      </c>
      <c r="F230" s="100"/>
      <c r="G230" s="101"/>
      <c r="H230" s="116"/>
      <c r="I230" s="113"/>
      <c r="J230" s="111"/>
    </row>
    <row r="231" spans="1:10" x14ac:dyDescent="0.2">
      <c r="A231" s="96"/>
      <c r="B231" s="120"/>
      <c r="C231" s="124" t="s">
        <v>485</v>
      </c>
      <c r="D231" s="125"/>
      <c r="E231" s="126">
        <f>6.8*3.7+(6.8+3.7)*2*4+(1.9+2.4*2)*0.5</f>
        <v>112.50999999999999</v>
      </c>
      <c r="F231" s="100"/>
      <c r="G231" s="101"/>
      <c r="H231" s="116"/>
      <c r="I231" s="113"/>
      <c r="J231" s="111"/>
    </row>
    <row r="232" spans="1:10" ht="22.5" x14ac:dyDescent="0.2">
      <c r="A232" s="96"/>
      <c r="B232" s="120"/>
      <c r="C232" s="124" t="s">
        <v>486</v>
      </c>
      <c r="D232" s="125"/>
      <c r="E232" s="126">
        <f>6.8*8.5+(6.8+8.5)*2*3.9+(1.6+2.4*2+2.3+2.4*2+1.3+2.3*2)*0.5</f>
        <v>186.83999999999997</v>
      </c>
      <c r="F232" s="100"/>
      <c r="G232" s="101"/>
      <c r="H232" s="116"/>
      <c r="I232" s="113"/>
      <c r="J232" s="111"/>
    </row>
    <row r="233" spans="1:10" x14ac:dyDescent="0.2">
      <c r="A233" s="96"/>
      <c r="B233" s="120"/>
      <c r="C233" s="124" t="s">
        <v>487</v>
      </c>
      <c r="D233" s="125"/>
      <c r="E233" s="126">
        <f>5.6*8.5+(5.6+8.5)*2*3.9+(2.3+2.4*2)*0.5</f>
        <v>161.13</v>
      </c>
      <c r="F233" s="100"/>
      <c r="G233" s="101"/>
      <c r="H233" s="116"/>
      <c r="I233" s="113"/>
      <c r="J233" s="111"/>
    </row>
    <row r="234" spans="1:10" x14ac:dyDescent="0.2">
      <c r="A234" s="102"/>
      <c r="B234" s="121" t="s">
        <v>81</v>
      </c>
      <c r="C234" s="104" t="str">
        <f>CONCATENATE(B217," ",C217)</f>
        <v>784 Malby</v>
      </c>
      <c r="D234" s="102"/>
      <c r="E234" s="118"/>
      <c r="F234" s="105"/>
      <c r="G234" s="106">
        <f>SUM(G217:G233)</f>
        <v>96748.800000000003</v>
      </c>
      <c r="I234" s="114"/>
      <c r="J234" s="111"/>
    </row>
    <row r="235" spans="1:10" x14ac:dyDescent="0.2">
      <c r="A235" s="90" t="s">
        <v>58</v>
      </c>
      <c r="B235" s="91" t="s">
        <v>241</v>
      </c>
      <c r="C235" s="92" t="s">
        <v>242</v>
      </c>
      <c r="D235" s="93"/>
      <c r="E235" s="117"/>
      <c r="F235" s="94"/>
      <c r="G235" s="95"/>
      <c r="I235" s="112"/>
      <c r="J235" s="111"/>
    </row>
    <row r="236" spans="1:10" x14ac:dyDescent="0.2">
      <c r="A236" s="96">
        <v>57</v>
      </c>
      <c r="B236" s="97" t="s">
        <v>243</v>
      </c>
      <c r="C236" s="98" t="s">
        <v>489</v>
      </c>
      <c r="D236" s="99" t="s">
        <v>135</v>
      </c>
      <c r="E236" s="109">
        <v>1</v>
      </c>
      <c r="F236" s="109">
        <v>470861.76999999996</v>
      </c>
      <c r="G236" s="101">
        <f>E236*F236</f>
        <v>470861.76999999996</v>
      </c>
      <c r="I236" s="113"/>
      <c r="J236" s="111"/>
    </row>
    <row r="237" spans="1:10" x14ac:dyDescent="0.2">
      <c r="A237" s="96">
        <v>58</v>
      </c>
      <c r="B237" s="97" t="s">
        <v>245</v>
      </c>
      <c r="C237" s="98" t="s">
        <v>490</v>
      </c>
      <c r="D237" s="99" t="s">
        <v>135</v>
      </c>
      <c r="E237" s="109">
        <v>1</v>
      </c>
      <c r="F237" s="109">
        <v>460594.82000000007</v>
      </c>
      <c r="G237" s="101">
        <f t="shared" ref="G237:G238" si="16">E237*F237</f>
        <v>460594.82000000007</v>
      </c>
      <c r="I237" s="113"/>
      <c r="J237" s="111"/>
    </row>
    <row r="238" spans="1:10" x14ac:dyDescent="0.2">
      <c r="A238" s="96">
        <v>59</v>
      </c>
      <c r="B238" s="97" t="s">
        <v>306</v>
      </c>
      <c r="C238" s="98" t="s">
        <v>491</v>
      </c>
      <c r="D238" s="99" t="s">
        <v>135</v>
      </c>
      <c r="E238" s="109">
        <v>1</v>
      </c>
      <c r="F238" s="109">
        <v>209241.90999999995</v>
      </c>
      <c r="G238" s="101">
        <f t="shared" si="16"/>
        <v>209241.90999999995</v>
      </c>
      <c r="I238" s="113"/>
      <c r="J238" s="111"/>
    </row>
    <row r="239" spans="1:10" x14ac:dyDescent="0.2">
      <c r="A239" s="96">
        <v>60</v>
      </c>
      <c r="B239" s="97" t="s">
        <v>308</v>
      </c>
      <c r="C239" s="107" t="s">
        <v>492</v>
      </c>
      <c r="D239" s="99" t="s">
        <v>135</v>
      </c>
      <c r="E239" s="109">
        <v>1</v>
      </c>
      <c r="F239" s="109">
        <v>620598.42929999996</v>
      </c>
      <c r="G239" s="101">
        <f t="shared" ref="G239:G249" si="17">E239*F239</f>
        <v>620598.42929999996</v>
      </c>
      <c r="I239" s="113"/>
      <c r="J239" s="111"/>
    </row>
    <row r="240" spans="1:10" x14ac:dyDescent="0.2">
      <c r="A240" s="96">
        <v>61</v>
      </c>
      <c r="B240" s="97" t="s">
        <v>247</v>
      </c>
      <c r="C240" s="107" t="s">
        <v>493</v>
      </c>
      <c r="D240" s="99" t="s">
        <v>135</v>
      </c>
      <c r="E240" s="109">
        <v>1</v>
      </c>
      <c r="F240" s="109">
        <v>490976.47145999991</v>
      </c>
      <c r="G240" s="101">
        <f t="shared" ref="G240:G241" si="18">E240*F240</f>
        <v>490976.47145999991</v>
      </c>
      <c r="I240" s="113"/>
      <c r="J240" s="111"/>
    </row>
    <row r="241" spans="1:10" x14ac:dyDescent="0.2">
      <c r="A241" s="96">
        <v>62</v>
      </c>
      <c r="B241" s="97" t="s">
        <v>249</v>
      </c>
      <c r="C241" s="107" t="s">
        <v>494</v>
      </c>
      <c r="D241" s="99" t="s">
        <v>135</v>
      </c>
      <c r="E241" s="109">
        <v>1</v>
      </c>
      <c r="F241" s="109">
        <v>236780.4342600001</v>
      </c>
      <c r="G241" s="101">
        <f t="shared" si="18"/>
        <v>236780.4342600001</v>
      </c>
      <c r="I241" s="113"/>
      <c r="J241" s="111"/>
    </row>
    <row r="242" spans="1:10" x14ac:dyDescent="0.2">
      <c r="A242" s="96">
        <v>63</v>
      </c>
      <c r="B242" s="97" t="s">
        <v>251</v>
      </c>
      <c r="C242" s="107" t="s">
        <v>307</v>
      </c>
      <c r="D242" s="99" t="s">
        <v>63</v>
      </c>
      <c r="E242" s="109">
        <v>67.5</v>
      </c>
      <c r="F242" s="109">
        <v>3330</v>
      </c>
      <c r="G242" s="101">
        <f t="shared" ref="G242:G246" si="19">E242*F242</f>
        <v>224775</v>
      </c>
      <c r="I242" s="113"/>
      <c r="J242" s="111"/>
    </row>
    <row r="243" spans="1:10" x14ac:dyDescent="0.2">
      <c r="A243" s="96">
        <v>64</v>
      </c>
      <c r="B243" s="97" t="s">
        <v>313</v>
      </c>
      <c r="C243" s="107" t="s">
        <v>309</v>
      </c>
      <c r="D243" s="99" t="s">
        <v>63</v>
      </c>
      <c r="E243" s="109">
        <v>37.1</v>
      </c>
      <c r="F243" s="109">
        <v>3658.5</v>
      </c>
      <c r="G243" s="101">
        <f t="shared" si="19"/>
        <v>135730.35</v>
      </c>
      <c r="I243" s="113"/>
      <c r="J243" s="111"/>
    </row>
    <row r="244" spans="1:10" x14ac:dyDescent="0.2">
      <c r="A244" s="96">
        <v>65</v>
      </c>
      <c r="B244" s="97" t="s">
        <v>314</v>
      </c>
      <c r="C244" s="107" t="s">
        <v>310</v>
      </c>
      <c r="D244" s="99" t="s">
        <v>63</v>
      </c>
      <c r="E244" s="109">
        <v>22.3</v>
      </c>
      <c r="F244" s="109">
        <v>3987</v>
      </c>
      <c r="G244" s="101">
        <f t="shared" si="19"/>
        <v>88910.1</v>
      </c>
      <c r="I244" s="113"/>
      <c r="J244" s="111"/>
    </row>
    <row r="245" spans="1:10" x14ac:dyDescent="0.2">
      <c r="A245" s="96">
        <v>66</v>
      </c>
      <c r="B245" s="97" t="s">
        <v>315</v>
      </c>
      <c r="C245" s="107" t="s">
        <v>311</v>
      </c>
      <c r="D245" s="99" t="s">
        <v>63</v>
      </c>
      <c r="E245" s="109">
        <v>8</v>
      </c>
      <c r="F245" s="109">
        <v>7083</v>
      </c>
      <c r="G245" s="101">
        <f t="shared" si="19"/>
        <v>56664</v>
      </c>
      <c r="I245" s="113"/>
      <c r="J245" s="111"/>
    </row>
    <row r="246" spans="1:10" ht="45" x14ac:dyDescent="0.2">
      <c r="A246" s="96">
        <v>67</v>
      </c>
      <c r="B246" s="97" t="s">
        <v>495</v>
      </c>
      <c r="C246" s="107" t="s">
        <v>312</v>
      </c>
      <c r="D246" s="99" t="s">
        <v>135</v>
      </c>
      <c r="E246" s="109">
        <v>1</v>
      </c>
      <c r="F246" s="109">
        <v>73500</v>
      </c>
      <c r="G246" s="101">
        <f t="shared" si="19"/>
        <v>73500</v>
      </c>
      <c r="I246" s="113"/>
      <c r="J246" s="111"/>
    </row>
    <row r="247" spans="1:10" s="192" customFormat="1" ht="22.5" x14ac:dyDescent="0.2">
      <c r="A247" s="186">
        <v>68</v>
      </c>
      <c r="B247" s="187" t="s">
        <v>496</v>
      </c>
      <c r="C247" s="188" t="s">
        <v>248</v>
      </c>
      <c r="D247" s="189" t="s">
        <v>135</v>
      </c>
      <c r="E247" s="190">
        <v>0</v>
      </c>
      <c r="F247" s="190">
        <v>0</v>
      </c>
      <c r="G247" s="191">
        <f t="shared" si="17"/>
        <v>0</v>
      </c>
      <c r="I247" s="193"/>
      <c r="J247" s="194"/>
    </row>
    <row r="248" spans="1:10" ht="22.5" x14ac:dyDescent="0.2">
      <c r="A248" s="96">
        <v>69</v>
      </c>
      <c r="B248" s="97" t="s">
        <v>497</v>
      </c>
      <c r="C248" s="98" t="s">
        <v>250</v>
      </c>
      <c r="D248" s="99" t="s">
        <v>229</v>
      </c>
      <c r="E248" s="109">
        <v>14</v>
      </c>
      <c r="F248" s="109">
        <v>1500</v>
      </c>
      <c r="G248" s="101">
        <f t="shared" si="17"/>
        <v>21000</v>
      </c>
      <c r="I248" s="113"/>
      <c r="J248" s="111"/>
    </row>
    <row r="249" spans="1:10" x14ac:dyDescent="0.2">
      <c r="A249" s="96">
        <v>70</v>
      </c>
      <c r="B249" s="97" t="s">
        <v>498</v>
      </c>
      <c r="C249" s="98" t="s">
        <v>252</v>
      </c>
      <c r="D249" s="99" t="s">
        <v>175</v>
      </c>
      <c r="E249" s="109">
        <v>28</v>
      </c>
      <c r="F249" s="109">
        <v>500</v>
      </c>
      <c r="G249" s="101">
        <f t="shared" si="17"/>
        <v>14000</v>
      </c>
      <c r="H249" s="116"/>
      <c r="I249" s="113"/>
      <c r="J249" s="111"/>
    </row>
    <row r="250" spans="1:10" x14ac:dyDescent="0.2">
      <c r="A250" s="102"/>
      <c r="B250" s="103" t="s">
        <v>81</v>
      </c>
      <c r="C250" s="104" t="str">
        <f>CONCATENATE(B235," ",C235)</f>
        <v>M21 Elektromontáže+akustika+audioviz. technika</v>
      </c>
      <c r="D250" s="102"/>
      <c r="E250" s="118"/>
      <c r="F250" s="105"/>
      <c r="G250" s="106">
        <f>SUM(G235:G249)</f>
        <v>3103633.2850199998</v>
      </c>
      <c r="I250" s="114"/>
      <c r="J250" s="111"/>
    </row>
    <row r="251" spans="1:10" x14ac:dyDescent="0.2">
      <c r="A251" s="90" t="s">
        <v>58</v>
      </c>
      <c r="B251" s="91" t="s">
        <v>253</v>
      </c>
      <c r="C251" s="92" t="s">
        <v>254</v>
      </c>
      <c r="D251" s="93"/>
      <c r="E251" s="117"/>
      <c r="F251" s="94"/>
      <c r="G251" s="95"/>
      <c r="I251" s="112"/>
      <c r="J251" s="111"/>
    </row>
    <row r="252" spans="1:10" ht="22.5" x14ac:dyDescent="0.2">
      <c r="A252" s="96">
        <v>71</v>
      </c>
      <c r="B252" s="97" t="s">
        <v>255</v>
      </c>
      <c r="C252" s="98" t="s">
        <v>499</v>
      </c>
      <c r="D252" s="99" t="s">
        <v>229</v>
      </c>
      <c r="E252" s="109">
        <f>SUM(E253:E254)</f>
        <v>4</v>
      </c>
      <c r="F252" s="109">
        <v>3500</v>
      </c>
      <c r="G252" s="101">
        <f>E252*F252</f>
        <v>14000</v>
      </c>
      <c r="H252" s="116"/>
      <c r="I252" s="113"/>
      <c r="J252" s="111"/>
    </row>
    <row r="253" spans="1:10" x14ac:dyDescent="0.2">
      <c r="A253" s="96"/>
      <c r="B253" s="97"/>
      <c r="C253" s="124" t="s">
        <v>500</v>
      </c>
      <c r="D253" s="125"/>
      <c r="E253" s="126">
        <v>2</v>
      </c>
      <c r="F253" s="109"/>
      <c r="G253" s="101"/>
      <c r="H253" s="116"/>
      <c r="I253" s="113"/>
      <c r="J253" s="111"/>
    </row>
    <row r="254" spans="1:10" x14ac:dyDescent="0.2">
      <c r="A254" s="96"/>
      <c r="B254" s="97"/>
      <c r="C254" s="124" t="s">
        <v>501</v>
      </c>
      <c r="D254" s="125"/>
      <c r="E254" s="126">
        <v>2</v>
      </c>
      <c r="F254" s="109"/>
      <c r="G254" s="101"/>
      <c r="H254" s="116"/>
      <c r="I254" s="113"/>
      <c r="J254" s="111"/>
    </row>
    <row r="255" spans="1:10" ht="22.5" x14ac:dyDescent="0.2">
      <c r="A255" s="96">
        <v>72</v>
      </c>
      <c r="B255" s="97" t="s">
        <v>502</v>
      </c>
      <c r="C255" s="98" t="s">
        <v>503</v>
      </c>
      <c r="D255" s="99" t="s">
        <v>229</v>
      </c>
      <c r="E255" s="109">
        <f>SUM(E256:E258)</f>
        <v>8</v>
      </c>
      <c r="F255" s="109">
        <v>1700</v>
      </c>
      <c r="G255" s="101">
        <f>E255*F255</f>
        <v>13600</v>
      </c>
      <c r="H255" s="116"/>
      <c r="I255" s="113"/>
      <c r="J255" s="111"/>
    </row>
    <row r="256" spans="1:10" x14ac:dyDescent="0.2">
      <c r="A256" s="96"/>
      <c r="B256" s="97"/>
      <c r="C256" s="124" t="s">
        <v>504</v>
      </c>
      <c r="D256" s="125"/>
      <c r="E256" s="126">
        <v>6</v>
      </c>
      <c r="F256" s="109"/>
      <c r="G256" s="101"/>
      <c r="H256" s="116"/>
      <c r="I256" s="113"/>
      <c r="J256" s="111"/>
    </row>
    <row r="257" spans="1:10" x14ac:dyDescent="0.2">
      <c r="A257" s="96"/>
      <c r="B257" s="97"/>
      <c r="C257" s="124" t="s">
        <v>505</v>
      </c>
      <c r="D257" s="125"/>
      <c r="E257" s="126">
        <v>2</v>
      </c>
      <c r="F257" s="109"/>
      <c r="G257" s="101"/>
      <c r="H257" s="116"/>
      <c r="I257" s="113"/>
      <c r="J257" s="111"/>
    </row>
    <row r="258" spans="1:10" x14ac:dyDescent="0.2">
      <c r="A258" s="102"/>
      <c r="B258" s="103" t="s">
        <v>81</v>
      </c>
      <c r="C258" s="104" t="str">
        <f>CONCATENATE(B251," ",C251)</f>
        <v>M24 Vzduchotechnika</v>
      </c>
      <c r="D258" s="102"/>
      <c r="E258" s="118"/>
      <c r="F258" s="105"/>
      <c r="G258" s="127">
        <f>SUM(G251:G257)</f>
        <v>27600</v>
      </c>
      <c r="I258" s="114"/>
      <c r="J258" s="111"/>
    </row>
    <row r="259" spans="1:10" x14ac:dyDescent="0.2">
      <c r="E259" s="74"/>
    </row>
    <row r="260" spans="1:10" x14ac:dyDescent="0.2">
      <c r="A260" s="130"/>
      <c r="B260" s="131" t="s">
        <v>81</v>
      </c>
      <c r="C260" s="132"/>
      <c r="D260" s="130"/>
      <c r="E260" s="133"/>
      <c r="F260" s="134"/>
      <c r="G260" s="135">
        <f>G258+G250+G234+G216+G204+G189+G179+G157+G143+G136+G133+G110+G107+G94+G63+G24+G160</f>
        <v>6201438.6550199995</v>
      </c>
    </row>
    <row r="261" spans="1:10" x14ac:dyDescent="0.2">
      <c r="C261" s="136"/>
      <c r="E261" s="74"/>
    </row>
    <row r="262" spans="1:10" x14ac:dyDescent="0.2">
      <c r="E262" s="74"/>
    </row>
    <row r="263" spans="1:10" x14ac:dyDescent="0.2">
      <c r="E263" s="74"/>
    </row>
    <row r="264" spans="1:10" x14ac:dyDescent="0.2">
      <c r="E264" s="74"/>
    </row>
    <row r="265" spans="1:10" x14ac:dyDescent="0.2">
      <c r="C265" s="144"/>
      <c r="E265" s="74"/>
    </row>
    <row r="266" spans="1:10" x14ac:dyDescent="0.2">
      <c r="E266" s="74"/>
    </row>
    <row r="267" spans="1:10" x14ac:dyDescent="0.2">
      <c r="E267" s="74"/>
    </row>
    <row r="268" spans="1:10" x14ac:dyDescent="0.2">
      <c r="E268" s="74"/>
    </row>
    <row r="269" spans="1:10" x14ac:dyDescent="0.2">
      <c r="E269" s="74"/>
    </row>
    <row r="270" spans="1:10" x14ac:dyDescent="0.2">
      <c r="C270" s="156"/>
      <c r="E270" s="74"/>
    </row>
    <row r="271" spans="1:10" x14ac:dyDescent="0.2">
      <c r="E271" s="74"/>
    </row>
    <row r="272" spans="1:10" x14ac:dyDescent="0.2">
      <c r="C272" s="136"/>
      <c r="E272" s="74"/>
    </row>
    <row r="273" spans="1:7" x14ac:dyDescent="0.2">
      <c r="E273" s="74"/>
    </row>
    <row r="274" spans="1:7" x14ac:dyDescent="0.2">
      <c r="E274" s="74"/>
    </row>
    <row r="275" spans="1:7" x14ac:dyDescent="0.2">
      <c r="E275" s="74"/>
    </row>
    <row r="276" spans="1:7" x14ac:dyDescent="0.2">
      <c r="E276" s="74"/>
    </row>
    <row r="277" spans="1:7" x14ac:dyDescent="0.2">
      <c r="E277" s="74"/>
    </row>
    <row r="278" spans="1:7" x14ac:dyDescent="0.2">
      <c r="E278" s="74"/>
    </row>
    <row r="279" spans="1:7" x14ac:dyDescent="0.2">
      <c r="E279" s="74"/>
    </row>
    <row r="280" spans="1:7" x14ac:dyDescent="0.2">
      <c r="E280" s="74"/>
    </row>
    <row r="281" spans="1:7" x14ac:dyDescent="0.2">
      <c r="E281" s="74"/>
    </row>
    <row r="282" spans="1:7" x14ac:dyDescent="0.2">
      <c r="E282" s="74"/>
    </row>
    <row r="283" spans="1:7" x14ac:dyDescent="0.2">
      <c r="A283" s="85"/>
      <c r="B283" s="85"/>
    </row>
    <row r="284" spans="1:7" x14ac:dyDescent="0.2">
      <c r="C284" s="86"/>
      <c r="D284" s="86"/>
      <c r="E284" s="87"/>
      <c r="F284" s="86"/>
      <c r="G284" s="88"/>
    </row>
    <row r="285" spans="1:7" x14ac:dyDescent="0.2">
      <c r="A285" s="85"/>
      <c r="B28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0" orientation="portrait" r:id="rId1"/>
  <rowBreaks count="5" manualBreakCount="5">
    <brk id="49" max="6" man="1"/>
    <brk id="94" max="6" man="1"/>
    <brk id="146" max="6" man="1"/>
    <brk id="179" max="6" man="1"/>
    <brk id="23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C1578-ECA6-4221-A5A4-DDCD3A2CCD00}">
  <sheetPr>
    <pageSetUpPr fitToPage="1"/>
  </sheetPr>
  <dimension ref="A1:O15"/>
  <sheetViews>
    <sheetView workbookViewId="0">
      <selection activeCell="K43" sqref="K43"/>
    </sheetView>
  </sheetViews>
  <sheetFormatPr defaultRowHeight="15" x14ac:dyDescent="0.25"/>
  <cols>
    <col min="1" max="1" width="3.85546875" style="196" customWidth="1"/>
    <col min="2" max="2" width="12" style="198" customWidth="1"/>
    <col min="3" max="3" width="40.42578125" style="196" customWidth="1"/>
    <col min="4" max="4" width="8.42578125" style="196" customWidth="1"/>
    <col min="5" max="5" width="8.5703125" style="196" customWidth="1"/>
    <col min="6" max="6" width="9.85546875" style="196" customWidth="1"/>
    <col min="7" max="7" width="13.85546875" style="196" customWidth="1"/>
    <col min="8" max="8" width="14.85546875" style="197" customWidth="1"/>
    <col min="9" max="9" width="8.85546875" style="196" customWidth="1"/>
    <col min="10" max="10" width="10" style="196" customWidth="1"/>
    <col min="11" max="11" width="9.140625" style="196"/>
    <col min="12" max="12" width="12.7109375" style="196" customWidth="1"/>
    <col min="13" max="16384" width="9.140625" style="196"/>
  </cols>
  <sheetData>
    <row r="1" spans="1:15" ht="15.75" x14ac:dyDescent="0.25">
      <c r="A1" s="380" t="s">
        <v>689</v>
      </c>
      <c r="B1" s="380"/>
      <c r="C1" s="380"/>
      <c r="D1" s="380"/>
      <c r="E1" s="380"/>
      <c r="F1" s="380"/>
      <c r="G1" s="380"/>
    </row>
    <row r="2" spans="1:15" ht="16.5" thickBot="1" x14ac:dyDescent="0.3">
      <c r="A2" s="380"/>
      <c r="B2" s="380"/>
      <c r="C2" s="380"/>
      <c r="D2" s="380"/>
      <c r="E2" s="380"/>
      <c r="F2" s="380"/>
      <c r="G2" s="380"/>
    </row>
    <row r="3" spans="1:15" ht="15.75" thickTop="1" x14ac:dyDescent="0.25">
      <c r="A3" s="381" t="s">
        <v>4</v>
      </c>
      <c r="B3" s="382"/>
      <c r="C3" s="275" t="str">
        <f>CONCATENATE(cislostavby," ",nazevstavby)</f>
        <v xml:space="preserve"> REKONSTRUKCE PROSTOR PRO DOKTORANDSKÁ STUDIA</v>
      </c>
      <c r="D3" s="274"/>
      <c r="E3" s="273"/>
      <c r="F3" s="272"/>
      <c r="G3" s="271" t="s">
        <v>21</v>
      </c>
    </row>
    <row r="4" spans="1:15" ht="15.75" thickBot="1" x14ac:dyDescent="0.3">
      <c r="A4" s="383" t="s">
        <v>1</v>
      </c>
      <c r="B4" s="384"/>
      <c r="C4" s="270" t="str">
        <f>CONCATENATE(cisloobjektu," ",nazevobjektu)</f>
        <v xml:space="preserve"> FF UK OSIP PRAHA 1, NÁM. JANA PALACHA 2</v>
      </c>
      <c r="D4" s="269"/>
      <c r="E4" s="385"/>
      <c r="F4" s="385"/>
      <c r="G4" s="386"/>
    </row>
    <row r="5" spans="1:15" ht="15.75" thickTop="1" x14ac:dyDescent="0.25">
      <c r="A5" s="268"/>
      <c r="B5" s="267"/>
      <c r="C5" s="205"/>
      <c r="D5" s="205"/>
      <c r="E5" s="266"/>
      <c r="F5" s="205"/>
      <c r="G5" s="205"/>
    </row>
    <row r="6" spans="1:15" ht="54" customHeight="1" x14ac:dyDescent="0.25">
      <c r="A6" s="265" t="s">
        <v>51</v>
      </c>
      <c r="B6" s="264" t="s">
        <v>52</v>
      </c>
      <c r="C6" s="264" t="s">
        <v>53</v>
      </c>
      <c r="D6" s="264" t="s">
        <v>54</v>
      </c>
      <c r="E6" s="264" t="s">
        <v>55</v>
      </c>
      <c r="F6" s="264" t="s">
        <v>56</v>
      </c>
      <c r="G6" s="263" t="s">
        <v>57</v>
      </c>
      <c r="H6" s="262" t="s">
        <v>679</v>
      </c>
      <c r="J6" s="261" t="s">
        <v>678</v>
      </c>
      <c r="K6" s="261" t="s">
        <v>677</v>
      </c>
      <c r="L6" s="261" t="s">
        <v>676</v>
      </c>
      <c r="M6" s="261" t="s">
        <v>675</v>
      </c>
    </row>
    <row r="7" spans="1:15" s="205" customFormat="1" x14ac:dyDescent="0.25">
      <c r="A7" s="226" t="s">
        <v>58</v>
      </c>
      <c r="B7" s="225" t="s">
        <v>165</v>
      </c>
      <c r="C7" s="224" t="s">
        <v>166</v>
      </c>
      <c r="D7" s="219"/>
      <c r="E7" s="223"/>
      <c r="F7" s="222"/>
      <c r="G7" s="221"/>
      <c r="H7" s="241"/>
      <c r="I7" s="196"/>
      <c r="J7" s="196"/>
      <c r="K7" s="196"/>
      <c r="L7" s="196"/>
      <c r="O7" s="196"/>
    </row>
    <row r="8" spans="1:15" s="205" customFormat="1" ht="22.5" x14ac:dyDescent="0.25">
      <c r="A8" s="219" t="s">
        <v>637</v>
      </c>
      <c r="B8" s="230" t="s">
        <v>688</v>
      </c>
      <c r="C8" s="217" t="s">
        <v>687</v>
      </c>
      <c r="D8" s="216" t="s">
        <v>76</v>
      </c>
      <c r="E8" s="215">
        <v>4</v>
      </c>
      <c r="F8" s="215">
        <f>(1495+850+600+2730)*1.15</f>
        <v>6526.2499999999991</v>
      </c>
      <c r="G8" s="214">
        <f>E8*F8</f>
        <v>26104.999999999996</v>
      </c>
      <c r="H8" s="213" t="s">
        <v>635</v>
      </c>
      <c r="I8" s="196"/>
      <c r="J8" s="196"/>
      <c r="K8" s="196"/>
      <c r="L8" s="196"/>
      <c r="O8" s="196"/>
    </row>
    <row r="9" spans="1:15" x14ac:dyDescent="0.25">
      <c r="A9" s="219"/>
      <c r="B9" s="239"/>
      <c r="C9" s="278" t="s">
        <v>686</v>
      </c>
      <c r="D9" s="277"/>
      <c r="E9" s="276"/>
      <c r="F9" s="229"/>
      <c r="G9" s="235"/>
      <c r="H9" s="213"/>
    </row>
    <row r="10" spans="1:15" x14ac:dyDescent="0.25">
      <c r="A10" s="219"/>
      <c r="B10" s="239"/>
      <c r="C10" s="278" t="s">
        <v>685</v>
      </c>
      <c r="D10" s="277"/>
      <c r="E10" s="276"/>
      <c r="F10" s="229"/>
      <c r="G10" s="235"/>
      <c r="H10" s="213"/>
    </row>
    <row r="11" spans="1:15" x14ac:dyDescent="0.25">
      <c r="A11" s="219"/>
      <c r="B11" s="239"/>
      <c r="C11" s="278" t="s">
        <v>684</v>
      </c>
      <c r="D11" s="277"/>
      <c r="E11" s="276"/>
      <c r="F11" s="229"/>
      <c r="G11" s="235"/>
      <c r="H11" s="213"/>
    </row>
    <row r="12" spans="1:15" x14ac:dyDescent="0.25">
      <c r="A12" s="219"/>
      <c r="B12" s="239"/>
      <c r="C12" s="278" t="s">
        <v>683</v>
      </c>
      <c r="D12" s="277"/>
      <c r="E12" s="276"/>
      <c r="F12" s="229"/>
      <c r="G12" s="235"/>
      <c r="H12" s="213"/>
    </row>
    <row r="13" spans="1:15" s="205" customFormat="1" x14ac:dyDescent="0.25">
      <c r="A13" s="210"/>
      <c r="B13" s="212" t="s">
        <v>81</v>
      </c>
      <c r="C13" s="211" t="s">
        <v>682</v>
      </c>
      <c r="D13" s="210"/>
      <c r="E13" s="209"/>
      <c r="F13" s="208"/>
      <c r="G13" s="207">
        <f>SUM(G7:G8)</f>
        <v>26104.999999999996</v>
      </c>
      <c r="H13" s="206"/>
      <c r="I13" s="196"/>
      <c r="J13" s="196"/>
      <c r="K13" s="196"/>
      <c r="L13" s="196"/>
    </row>
    <row r="15" spans="1:15" x14ac:dyDescent="0.25">
      <c r="A15" s="202"/>
      <c r="B15" s="204" t="s">
        <v>81</v>
      </c>
      <c r="C15" s="203"/>
      <c r="D15" s="202"/>
      <c r="E15" s="201"/>
      <c r="F15" s="200"/>
      <c r="G15" s="199">
        <f>G13</f>
        <v>26104.999999999996</v>
      </c>
    </row>
  </sheetData>
  <mergeCells count="5">
    <mergeCell ref="A1:G1"/>
    <mergeCell ref="A2:G2"/>
    <mergeCell ref="A3:B3"/>
    <mergeCell ref="A4:B4"/>
    <mergeCell ref="E4:G4"/>
  </mergeCells>
  <pageMargins left="0.7" right="0.7" top="0.78740157499999996" bottom="0.78740157499999996" header="0.3" footer="0.3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E3F230-E679-4E92-B369-E2A6D2CF9C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550594-5A88-4853-BE4B-E16A00220A7F}">
  <ds:schemaRefs>
    <ds:schemaRef ds:uri="http://purl.org/dc/terms/"/>
    <ds:schemaRef ds:uri="http://schemas.microsoft.com/office/infopath/2007/PartnerControls"/>
    <ds:schemaRef ds:uri="87c9f3af-ec7a-450e-8294-b635bcd26152"/>
    <ds:schemaRef ds:uri="http://www.w3.org/XML/1998/namespace"/>
    <ds:schemaRef ds:uri="http://schemas.microsoft.com/office/2006/documentManagement/types"/>
    <ds:schemaRef ds:uri="cdade9ed-8a37-4604-8901-3f3c6772e945"/>
    <ds:schemaRef ds:uri="http://purl.org/dc/elements/1.1/"/>
    <ds:schemaRef ds:uri="http://schemas.openxmlformats.org/package/2006/metadata/core-properties"/>
    <ds:schemaRef ds:uri="ddd4955e-e515-422d-8a4e-24f85441c1a6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B7BFB7-A683-41D2-8630-97FDE384C1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c9f3af-ec7a-450e-8294-b635bcd26152"/>
    <ds:schemaRef ds:uri="cdade9ed-8a37-4604-8901-3f3c6772e945"/>
    <ds:schemaRef ds:uri="ddd4955e-e515-422d-8a4e-24f85441c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36</vt:i4>
      </vt:variant>
    </vt:vector>
  </HeadingPairs>
  <TitlesOfParts>
    <vt:vector size="48" baseType="lpstr">
      <vt:lpstr>Krycí list</vt:lpstr>
      <vt:lpstr>Rekapitulace</vt:lpstr>
      <vt:lpstr>1.NP</vt:lpstr>
      <vt:lpstr>1.NP ZL č.3</vt:lpstr>
      <vt:lpstr>2.NP</vt:lpstr>
      <vt:lpstr>3.NP</vt:lpstr>
      <vt:lpstr>3.NP ZL č.2</vt:lpstr>
      <vt:lpstr>4.NP</vt:lpstr>
      <vt:lpstr>4.NP ZL č.2</vt:lpstr>
      <vt:lpstr>5.NP</vt:lpstr>
      <vt:lpstr>5.NP ZL č.1 </vt:lpstr>
      <vt:lpstr>5.NP ZL č.2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'1.NP'!Názvy_tisku</vt:lpstr>
      <vt:lpstr>Rekapitulace!Názvy_tisku</vt:lpstr>
      <vt:lpstr>Objednatel</vt:lpstr>
      <vt:lpstr>'1.NP'!Oblast_tisku</vt:lpstr>
      <vt:lpstr>'1.NP ZL č.3'!Oblast_tisku</vt:lpstr>
      <vt:lpstr>'2.NP'!Oblast_tisku</vt:lpstr>
      <vt:lpstr>'3.NP'!Oblast_tisku</vt:lpstr>
      <vt:lpstr>'3.NP ZL č.2'!Oblast_tisku</vt:lpstr>
      <vt:lpstr>'4.NP'!Oblast_tisku</vt:lpstr>
      <vt:lpstr>'4.NP ZL č.2'!Oblast_tisku</vt:lpstr>
      <vt:lpstr>'5.NP'!Oblast_tisku</vt:lpstr>
      <vt:lpstr>'5.NP ZL č.1 '!Oblast_tisku</vt:lpstr>
      <vt:lpstr>'5.NP ZL č.2'!Oblast_tisku</vt:lpstr>
      <vt:lpstr>'Krycí list'!Oblast_tisku</vt:lpstr>
      <vt:lpstr>Rekapitulace!Oblast_tisku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Kyzrová Šárka</dc:creator>
  <cp:keywords/>
  <dc:description/>
  <cp:lastModifiedBy>Malinová, Lucie</cp:lastModifiedBy>
  <cp:revision/>
  <dcterms:created xsi:type="dcterms:W3CDTF">2017-03-13T10:02:06Z</dcterms:created>
  <dcterms:modified xsi:type="dcterms:W3CDTF">2025-02-20T16:19:25Z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